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лукьянов\40.1-144\2022 Предельные расчеты на 1 полугол\2.НОВЫЕ.СРЕД Ростов 2022 МЕСЯЦ(ЛЕТО)\"/>
    </mc:Choice>
  </mc:AlternateContent>
  <bookViews>
    <workbookView xWindow="120" yWindow="150" windowWidth="11475" windowHeight="10935"/>
  </bookViews>
  <sheets>
    <sheet name="СРЕД год" sheetId="1" r:id="rId1"/>
  </sheets>
  <definedNames>
    <definedName name="_xlnm._FilterDatabase" localSheetId="0" hidden="1">'СРЕД год'!$A$8:$AC$81</definedName>
    <definedName name="_xlnm.Print_Area" localSheetId="0">'СРЕД год'!$A$2:$S$89</definedName>
  </definedNames>
  <calcPr calcId="162913"/>
</workbook>
</file>

<file path=xl/calcChain.xml><?xml version="1.0" encoding="utf-8"?>
<calcChain xmlns="http://schemas.openxmlformats.org/spreadsheetml/2006/main">
  <c r="L11" i="1" l="1"/>
  <c r="L10" i="1"/>
  <c r="L82" i="1"/>
  <c r="K70" i="1"/>
  <c r="K69" i="1"/>
  <c r="K68" i="1"/>
  <c r="K66" i="1"/>
  <c r="K65" i="1"/>
  <c r="K64" i="1"/>
  <c r="K57" i="1"/>
  <c r="K56" i="1"/>
  <c r="K55" i="1"/>
  <c r="L24" i="1"/>
  <c r="L23" i="1"/>
  <c r="K24" i="1"/>
  <c r="K23" i="1"/>
  <c r="L20" i="1"/>
  <c r="L19" i="1"/>
  <c r="K20" i="1"/>
  <c r="K19" i="1"/>
  <c r="K11" i="1"/>
  <c r="K10" i="1"/>
  <c r="M82" i="1" l="1"/>
  <c r="M70" i="1"/>
  <c r="M69" i="1"/>
  <c r="M68" i="1"/>
  <c r="M24" i="1"/>
  <c r="M23" i="1"/>
  <c r="M20" i="1"/>
  <c r="M19" i="1"/>
  <c r="M14" i="1"/>
  <c r="M11" i="1"/>
  <c r="M10" i="1"/>
  <c r="E82" i="1"/>
  <c r="E70" i="1"/>
  <c r="E69" i="1"/>
  <c r="E68" i="1"/>
  <c r="E66" i="1"/>
  <c r="E65" i="1"/>
  <c r="E64" i="1"/>
  <c r="E57" i="1"/>
  <c r="E56" i="1"/>
  <c r="E55" i="1"/>
  <c r="E24" i="1"/>
  <c r="E23" i="1"/>
  <c r="E20" i="1"/>
  <c r="E19" i="1"/>
  <c r="E15" i="1"/>
  <c r="E14" i="1"/>
  <c r="E11" i="1"/>
  <c r="E10" i="1"/>
  <c r="F20" i="1" l="1"/>
  <c r="F15" i="1"/>
  <c r="F11" i="1"/>
  <c r="R10" i="1" l="1"/>
  <c r="K78" i="1"/>
  <c r="K77" i="1"/>
  <c r="Q25" i="1" l="1"/>
  <c r="O25" i="1"/>
  <c r="N25" i="1"/>
  <c r="F25" i="1"/>
  <c r="E25" i="1" s="1"/>
  <c r="J25" i="1" s="1"/>
  <c r="Q24" i="1"/>
  <c r="O24" i="1"/>
  <c r="N24" i="1"/>
  <c r="F24" i="1"/>
  <c r="R23" i="1"/>
  <c r="J23" i="1"/>
  <c r="Q21" i="1"/>
  <c r="O21" i="1"/>
  <c r="N21" i="1" s="1"/>
  <c r="F21" i="1"/>
  <c r="E21" i="1" s="1"/>
  <c r="J21" i="1" s="1"/>
  <c r="Q20" i="1"/>
  <c r="O20" i="1"/>
  <c r="N20" i="1" s="1"/>
  <c r="J19" i="1"/>
  <c r="E26" i="1" l="1"/>
  <c r="M25" i="1"/>
  <c r="R25" i="1" s="1"/>
  <c r="S25" i="1" s="1"/>
  <c r="R20" i="1"/>
  <c r="S23" i="1"/>
  <c r="R24" i="1"/>
  <c r="M21" i="1"/>
  <c r="R21" i="1" s="1"/>
  <c r="J24" i="1"/>
  <c r="J26" i="1" s="1"/>
  <c r="E22" i="1"/>
  <c r="J20" i="1"/>
  <c r="J22" i="1" s="1"/>
  <c r="S21" i="1"/>
  <c r="R19" i="1"/>
  <c r="F81" i="1"/>
  <c r="E81" i="1" s="1"/>
  <c r="F82" i="1"/>
  <c r="S24" i="1" l="1"/>
  <c r="M26" i="1"/>
  <c r="M22" i="1"/>
  <c r="R26" i="1"/>
  <c r="S26" i="1" s="1"/>
  <c r="S19" i="1"/>
  <c r="R22" i="1"/>
  <c r="S22" i="1" s="1"/>
  <c r="S20" i="1"/>
  <c r="F16" i="1" l="1"/>
  <c r="E16" i="1" s="1"/>
  <c r="J16" i="1" s="1"/>
  <c r="F17" i="1"/>
  <c r="Q17" i="1"/>
  <c r="O17" i="1"/>
  <c r="N17" i="1" s="1"/>
  <c r="M17" i="1" l="1"/>
  <c r="R17" i="1" s="1"/>
  <c r="E17" i="1"/>
  <c r="J17" i="1" s="1"/>
  <c r="I83" i="1"/>
  <c r="S17" i="1" l="1"/>
  <c r="D56" i="1"/>
  <c r="O82" i="1" l="1"/>
  <c r="N82" i="1" s="1"/>
  <c r="O81" i="1"/>
  <c r="N81" i="1" s="1"/>
  <c r="M66" i="1"/>
  <c r="L66" i="1"/>
  <c r="M65" i="1"/>
  <c r="L65" i="1"/>
  <c r="M64" i="1"/>
  <c r="L64" i="1"/>
  <c r="D66" i="1"/>
  <c r="J66" i="1" s="1"/>
  <c r="D65" i="1"/>
  <c r="J65" i="1" s="1"/>
  <c r="D64" i="1"/>
  <c r="J64" i="1" s="1"/>
  <c r="E51" i="1"/>
  <c r="E48" i="1"/>
  <c r="O51" i="1"/>
  <c r="N51" i="1" s="1"/>
  <c r="O48" i="1"/>
  <c r="N48" i="1" s="1"/>
  <c r="M43" i="1"/>
  <c r="E43" i="1"/>
  <c r="O42" i="1"/>
  <c r="O40" i="1"/>
  <c r="E40" i="1"/>
  <c r="F35" i="1"/>
  <c r="E35" i="1" s="1"/>
  <c r="F34" i="1"/>
  <c r="E34" i="1" s="1"/>
  <c r="F31" i="1"/>
  <c r="E31" i="1" s="1"/>
  <c r="F30" i="1"/>
  <c r="E30" i="1" s="1"/>
  <c r="J30" i="1" s="1"/>
  <c r="O35" i="1"/>
  <c r="N35" i="1" s="1"/>
  <c r="O34" i="1"/>
  <c r="O31" i="1"/>
  <c r="O30" i="1"/>
  <c r="N30" i="1" s="1"/>
  <c r="O15" i="1"/>
  <c r="O12" i="1"/>
  <c r="O11" i="1"/>
  <c r="N11" i="1" s="1"/>
  <c r="R65" i="1" l="1"/>
  <c r="S65" i="1" s="1"/>
  <c r="E71" i="1"/>
  <c r="R66" i="1"/>
  <c r="S66" i="1" s="1"/>
  <c r="R64" i="1"/>
  <c r="S64" i="1" s="1"/>
  <c r="O74" i="1"/>
  <c r="N74" i="1" s="1"/>
  <c r="O73" i="1"/>
  <c r="N73" i="1" s="1"/>
  <c r="Q74" i="1"/>
  <c r="Q73" i="1"/>
  <c r="E73" i="1"/>
  <c r="E74" i="1"/>
  <c r="M74" i="1" l="1"/>
  <c r="M73" i="1"/>
  <c r="E75" i="1"/>
  <c r="L74" i="1"/>
  <c r="D74" i="1"/>
  <c r="J74" i="1" s="1"/>
  <c r="L73" i="1"/>
  <c r="D73" i="1"/>
  <c r="J73" i="1" s="1"/>
  <c r="E18" i="1"/>
  <c r="F12" i="1"/>
  <c r="E12" i="1" s="1"/>
  <c r="R74" i="1" l="1"/>
  <c r="S74" i="1" s="1"/>
  <c r="E13" i="1"/>
  <c r="E27" i="1" s="1"/>
  <c r="R73" i="1"/>
  <c r="S73" i="1" s="1"/>
  <c r="M75" i="1"/>
  <c r="J75" i="1"/>
  <c r="Q69" i="1"/>
  <c r="Q70" i="1"/>
  <c r="M55" i="1"/>
  <c r="N34" i="1"/>
  <c r="N31" i="1"/>
  <c r="N15" i="1"/>
  <c r="M15" i="1" s="1"/>
  <c r="N12" i="1"/>
  <c r="M42" i="1"/>
  <c r="M33" i="1"/>
  <c r="M29" i="1"/>
  <c r="R14" i="1"/>
  <c r="R75" i="1" l="1"/>
  <c r="S75" i="1" s="1"/>
  <c r="R47" i="1"/>
  <c r="J47" i="1"/>
  <c r="J82" i="1" l="1"/>
  <c r="J81" i="1"/>
  <c r="E79" i="1"/>
  <c r="Q51" i="1"/>
  <c r="M51" i="1" s="1"/>
  <c r="R50" i="1"/>
  <c r="E49" i="1"/>
  <c r="R41" i="1"/>
  <c r="R42" i="1"/>
  <c r="M40" i="1"/>
  <c r="R40" i="1" s="1"/>
  <c r="R39" i="1"/>
  <c r="E42" i="1"/>
  <c r="J41" i="1"/>
  <c r="R33" i="1"/>
  <c r="J33" i="1"/>
  <c r="J29" i="1"/>
  <c r="J35" i="1"/>
  <c r="J34" i="1"/>
  <c r="J11" i="1"/>
  <c r="J39" i="1"/>
  <c r="J42" i="1" l="1"/>
  <c r="E44" i="1"/>
  <c r="R43" i="1"/>
  <c r="J43" i="1"/>
  <c r="R51" i="1"/>
  <c r="R52" i="1" s="1"/>
  <c r="R44" i="1"/>
  <c r="J48" i="1"/>
  <c r="J49" i="1" s="1"/>
  <c r="J36" i="1"/>
  <c r="J51" i="1"/>
  <c r="E52" i="1"/>
  <c r="E83" i="1"/>
  <c r="E36" i="1"/>
  <c r="J12" i="1"/>
  <c r="E32" i="1"/>
  <c r="J31" i="1"/>
  <c r="J32" i="1" s="1"/>
  <c r="J40" i="1"/>
  <c r="J15" i="1"/>
  <c r="R29" i="1"/>
  <c r="M44" i="1"/>
  <c r="M78" i="1"/>
  <c r="M77" i="1"/>
  <c r="O70" i="1"/>
  <c r="O69" i="1"/>
  <c r="O68" i="1"/>
  <c r="M56" i="1"/>
  <c r="M57" i="1"/>
  <c r="M58" i="1"/>
  <c r="M59" i="1"/>
  <c r="M60" i="1"/>
  <c r="J44" i="1" l="1"/>
  <c r="R45" i="1"/>
  <c r="J45" i="1"/>
  <c r="M52" i="1"/>
  <c r="E53" i="1"/>
  <c r="M79" i="1"/>
  <c r="Q82" i="1"/>
  <c r="Q81" i="1"/>
  <c r="M81" i="1" s="1"/>
  <c r="Q68" i="1"/>
  <c r="Q48" i="1"/>
  <c r="M48" i="1" s="1"/>
  <c r="Q35" i="1"/>
  <c r="Q34" i="1"/>
  <c r="M34" i="1" s="1"/>
  <c r="Q31" i="1"/>
  <c r="Q30" i="1"/>
  <c r="M30" i="1" s="1"/>
  <c r="M18" i="1"/>
  <c r="Q12" i="1"/>
  <c r="M71" i="1" l="1"/>
  <c r="M83" i="1"/>
  <c r="M49" i="1"/>
  <c r="M53" i="1" s="1"/>
  <c r="M31" i="1"/>
  <c r="M32" i="1" s="1"/>
  <c r="M35" i="1"/>
  <c r="M36" i="1" s="1"/>
  <c r="M12" i="1"/>
  <c r="M13" i="1" s="1"/>
  <c r="M27" i="1" s="1"/>
  <c r="R81" i="1"/>
  <c r="R30" i="1"/>
  <c r="R15" i="1"/>
  <c r="R18" i="1" s="1"/>
  <c r="R34" i="1"/>
  <c r="R11" i="1"/>
  <c r="S44" i="1"/>
  <c r="M61" i="1"/>
  <c r="J10" i="1"/>
  <c r="J13" i="1" s="1"/>
  <c r="R82" i="1" l="1"/>
  <c r="R83" i="1" s="1"/>
  <c r="R35" i="1"/>
  <c r="R36" i="1" s="1"/>
  <c r="S10" i="1"/>
  <c r="M37" i="1"/>
  <c r="R31" i="1"/>
  <c r="R32" i="1" s="1"/>
  <c r="R12" i="1"/>
  <c r="R13" i="1" s="1"/>
  <c r="R27" i="1" s="1"/>
  <c r="R48" i="1"/>
  <c r="R49" i="1" s="1"/>
  <c r="S43" i="1"/>
  <c r="J37" i="1"/>
  <c r="E37" i="1"/>
  <c r="R37" i="1" l="1"/>
  <c r="R53" i="1"/>
  <c r="S49" i="1"/>
  <c r="J14" i="1"/>
  <c r="J18" i="1" s="1"/>
  <c r="J27" i="1" s="1"/>
  <c r="S27" i="1" s="1"/>
  <c r="S40" i="1" l="1"/>
  <c r="S33" i="1"/>
  <c r="S29" i="1"/>
  <c r="S31" i="1"/>
  <c r="S11" i="1"/>
  <c r="S35" i="1"/>
  <c r="S42" i="1"/>
  <c r="S15" i="1"/>
  <c r="S41" i="1" l="1"/>
  <c r="S39" i="1"/>
  <c r="S30" i="1"/>
  <c r="S32" i="1"/>
  <c r="S34" i="1"/>
  <c r="S36" i="1"/>
  <c r="E61" i="1"/>
  <c r="L78" i="1"/>
  <c r="R78" i="1" s="1"/>
  <c r="D78" i="1"/>
  <c r="J78" i="1" s="1"/>
  <c r="L77" i="1"/>
  <c r="R77" i="1" s="1"/>
  <c r="D77" i="1"/>
  <c r="J77" i="1" s="1"/>
  <c r="L70" i="1"/>
  <c r="R70" i="1" s="1"/>
  <c r="D70" i="1"/>
  <c r="J70" i="1" s="1"/>
  <c r="L69" i="1"/>
  <c r="R69" i="1" s="1"/>
  <c r="D69" i="1"/>
  <c r="J69" i="1" s="1"/>
  <c r="L68" i="1"/>
  <c r="R68" i="1" s="1"/>
  <c r="D68" i="1"/>
  <c r="J68" i="1" s="1"/>
  <c r="L60" i="1"/>
  <c r="R60" i="1" s="1"/>
  <c r="L59" i="1"/>
  <c r="R59" i="1" s="1"/>
  <c r="L58" i="1"/>
  <c r="R58" i="1" s="1"/>
  <c r="L57" i="1"/>
  <c r="R57" i="1" s="1"/>
  <c r="L56" i="1"/>
  <c r="R56" i="1" s="1"/>
  <c r="L55" i="1"/>
  <c r="R55" i="1" s="1"/>
  <c r="D60" i="1"/>
  <c r="J60" i="1" s="1"/>
  <c r="D59" i="1"/>
  <c r="J59" i="1" s="1"/>
  <c r="D58" i="1"/>
  <c r="J58" i="1" s="1"/>
  <c r="D57" i="1"/>
  <c r="J57" i="1" s="1"/>
  <c r="J56" i="1"/>
  <c r="D55" i="1"/>
  <c r="J55" i="1" s="1"/>
  <c r="S51" i="1"/>
  <c r="J50" i="1"/>
  <c r="S48" i="1"/>
  <c r="R71" i="1" l="1"/>
  <c r="J71" i="1"/>
  <c r="S50" i="1"/>
  <c r="J52" i="1"/>
  <c r="R79" i="1"/>
  <c r="R61" i="1"/>
  <c r="S47" i="1"/>
  <c r="J61" i="1"/>
  <c r="S45" i="1"/>
  <c r="S13" i="1"/>
  <c r="S58" i="1"/>
  <c r="S70" i="1"/>
  <c r="S82" i="1"/>
  <c r="J83" i="1"/>
  <c r="S12" i="1"/>
  <c r="S14" i="1"/>
  <c r="J79" i="1"/>
  <c r="S55" i="1"/>
  <c r="S59" i="1"/>
  <c r="S69" i="1"/>
  <c r="S81" i="1"/>
  <c r="S77" i="1"/>
  <c r="S68" i="1"/>
  <c r="S56" i="1"/>
  <c r="S60" i="1"/>
  <c r="S57" i="1"/>
  <c r="S71" i="1" l="1"/>
  <c r="R84" i="1"/>
  <c r="J53" i="1"/>
  <c r="S53" i="1" s="1"/>
  <c r="S52" i="1"/>
  <c r="S83" i="1"/>
  <c r="S61" i="1"/>
  <c r="S18" i="1"/>
  <c r="S79" i="1"/>
  <c r="S37" i="1"/>
  <c r="J84" i="1" l="1"/>
  <c r="S84" i="1" s="1"/>
</calcChain>
</file>

<file path=xl/comments1.xml><?xml version="1.0" encoding="utf-8"?>
<comments xmlns="http://schemas.openxmlformats.org/spreadsheetml/2006/main">
  <authors>
    <author>Gniteeva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Gniteeva:</t>
        </r>
        <r>
          <rPr>
            <sz val="9"/>
            <color indexed="81"/>
            <rFont val="Tahoma"/>
            <family val="2"/>
            <charset val="204"/>
          </rPr>
          <t xml:space="preserve">
количество знаков после запятой в нормативе с учетом понижающего коэффициента указывается в соответствии с постановлением органа местного самоуправления об утверждении понижающих коэффициентов</t>
        </r>
      </text>
    </comment>
  </commentList>
</comments>
</file>

<file path=xl/sharedStrings.xml><?xml version="1.0" encoding="utf-8"?>
<sst xmlns="http://schemas.openxmlformats.org/spreadsheetml/2006/main" count="267" uniqueCount="80">
  <si>
    <t>Наименование ресурсоснабжающей организации</t>
  </si>
  <si>
    <t>Объем потребления коммунальных услуг населением (тыс. ед.изм.)</t>
  </si>
  <si>
    <t>при отсутствии приборов учета</t>
  </si>
  <si>
    <t>Выручка 
(тыс. руб.)</t>
  </si>
  <si>
    <t>Тариф для расчета размера платы граждан 
(с НДС), 
руб./ед. изм.</t>
  </si>
  <si>
    <t>Раздел 1. Холодное водоснабжение</t>
  </si>
  <si>
    <t>1.</t>
  </si>
  <si>
    <t>2.</t>
  </si>
  <si>
    <t>х</t>
  </si>
  <si>
    <t>Итого по холодному водоснабжению:</t>
  </si>
  <si>
    <t>Раздел 2. Водоотведение</t>
  </si>
  <si>
    <t>Итого по водоотведению:</t>
  </si>
  <si>
    <t>Раздел 3. Горячее водоснабжение</t>
  </si>
  <si>
    <t>Итого по горячему водоснабжению:</t>
  </si>
  <si>
    <t>Раздел 4. Централизованное отопление</t>
  </si>
  <si>
    <t>Итого по отоплению:</t>
  </si>
  <si>
    <t>Раздел 5. Электроснабжение (в пределах социальной нормы потребления)</t>
  </si>
  <si>
    <t>Одноставочный тариф</t>
  </si>
  <si>
    <t>2 зоны суток: дневная зона</t>
  </si>
  <si>
    <t>2 зоны суток: ночная зона</t>
  </si>
  <si>
    <t>3 зоны суток:: пиковая зона</t>
  </si>
  <si>
    <t>3 зоны суток:: полупиковая зона</t>
  </si>
  <si>
    <t>3 зоны суток:: ночная зона</t>
  </si>
  <si>
    <t>при наличии ПУ</t>
  </si>
  <si>
    <t>при отсутствии ПУ</t>
  </si>
  <si>
    <t>Итого по электроснабжению:</t>
  </si>
  <si>
    <t>Раздел 6. Газоснабжение (сетевой газ)</t>
  </si>
  <si>
    <t>Итого по газоснабжению (сетевой газ):</t>
  </si>
  <si>
    <t>Итого по отоплению твердым топливом:</t>
  </si>
  <si>
    <t>Итого по обращению с ТКО:</t>
  </si>
  <si>
    <t>ИТОГО плата за коммунальные услуги</t>
  </si>
  <si>
    <t>(подпись, печать)</t>
  </si>
  <si>
    <t>Руководитель муниципального образования ________________________  /_______________________/</t>
  </si>
  <si>
    <t>Итого по РСО 1.</t>
  </si>
  <si>
    <t>Итого по РСО 2.</t>
  </si>
  <si>
    <t>компонент на холодную воду (теплоноситель)</t>
  </si>
  <si>
    <t>компонент на тепловую энергию</t>
  </si>
  <si>
    <t>Итого по компоненту на ХВС (теплоноситель)</t>
  </si>
  <si>
    <t>Итого по компоненту на тепловую энергию</t>
  </si>
  <si>
    <t>Объем потребления коммунальных услуг населением 
(тыс. ед.изм.)</t>
  </si>
  <si>
    <t>ИТОГО объем</t>
  </si>
  <si>
    <t>Приложение № 1</t>
  </si>
  <si>
    <t xml:space="preserve">Наличие / отсутствие приборов учета </t>
  </si>
  <si>
    <t>понижающий коэффициент к нормативу 
(при наличии)</t>
  </si>
  <si>
    <t>норматив с учетом понижающего коэффициента*</t>
  </si>
  <si>
    <t>МКД</t>
  </si>
  <si>
    <t>ЧД</t>
  </si>
  <si>
    <t>ЭОТ (с НДС), руб/ ед.изм.</t>
  </si>
  <si>
    <t>Тариф для расчета размера платы 
(с НДС), 
руб./ед. изм.</t>
  </si>
  <si>
    <t>количество человек / площадь помещения</t>
  </si>
  <si>
    <t xml:space="preserve">установленный норматив </t>
  </si>
  <si>
    <t>норматив с учетом понижающего коэффициента</t>
  </si>
  <si>
    <t>Раздел 7. Газоснабжение (сжиженный газ)</t>
  </si>
  <si>
    <t>Раздел 8. Отопление твердым топливом</t>
  </si>
  <si>
    <t>Раздел 9. Обращение с твердыми коммунальными отходами</t>
  </si>
  <si>
    <t>Показатели на декабрь 2021 года</t>
  </si>
  <si>
    <t>при наличии ПУ:</t>
  </si>
  <si>
    <t>приготовление пищи и нагрев воды с  использованием газовой плиты (в отсутствие других направлений использования газа)</t>
  </si>
  <si>
    <t>приготовление пищи и нагрев воды с  использованием газовой плиты и нагрев воды с использованием газового   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</si>
  <si>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</si>
  <si>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при отсутствии ПУ:</t>
  </si>
  <si>
    <t>на приготовление пищи</t>
  </si>
  <si>
    <t xml:space="preserve"> на подогрев воды</t>
  </si>
  <si>
    <t>: на отопление</t>
  </si>
  <si>
    <t>1.1.ПАО "ТНС энерго Ростов-на-Дону"</t>
  </si>
  <si>
    <t>1.ООО "Газппром межрегионгаз "Ростов-на-Дону"1.</t>
  </si>
  <si>
    <t>ООО"Экотранс"</t>
  </si>
  <si>
    <t>1. .ОАО. "Донуголь"</t>
  </si>
  <si>
    <t>2. .ОАО. "Донуголь"</t>
  </si>
  <si>
    <t>марка угля АМ</t>
  </si>
  <si>
    <t>марка угля АО</t>
  </si>
  <si>
    <t>1.МУП"Водоканал  Неклиновского района "(питьевая вода)</t>
  </si>
  <si>
    <t>2.МУП"Водоканал  Неклиновского района "(техническая вода)</t>
  </si>
  <si>
    <t>Итого по РСО 3.</t>
  </si>
  <si>
    <t>Итого по РСО 4.</t>
  </si>
  <si>
    <t>4.МУП"ВОДОКАНАЛ Неклиновского района "(х.Христофоровка)</t>
  </si>
  <si>
    <t>3.МУП"Водоканал  Неклиновского района "(Русский Колодец")</t>
  </si>
  <si>
    <t xml:space="preserve">  РАСЧЕТ ПРЕДЕЛЬНОГО ИНДЕКСА ИЗМЕНЕНИЯ РАЗМЕРА ПЛАТЫ ГРАЖДАН ЗА КОММУНАЛЬНЫЕ УСЛУГИ
в среднем по муниципальному образованию Поляковское сельское поселение Неклиновского района района Ростовской области
на 1 полугодие 2022 года </t>
  </si>
  <si>
    <t>Показатели на 1 полугодие 2022 года</t>
  </si>
  <si>
    <t>индекс изменения платы граждан за коммунальные услуги в 1 полугодии 2022 г. к декабрю 2021 г.,%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</si>
</sst>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%"/>
    <numFmt numFmtId="165" formatCode="#,##0.00000"/>
    <numFmt numFmtId="166" formatCode="0.00000"/>
    <numFmt numFmtId="167" formatCode="#,##0.000000"/>
    <numFmt numFmtId="168" formatCode="#,##0.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2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8" fillId="0" borderId="2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1" fontId="3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89"/>
  <sheetViews>
    <sheetView tabSelected="1" topLeftCell="A76" zoomScale="70" zoomScaleNormal="70" workbookViewId="0">
      <selection activeCell="K82" sqref="K82"/>
    </sheetView>
  </sheetViews>
  <sheetFormatPr defaultRowHeight="15.75" x14ac:dyDescent="0.25"/>
  <cols>
    <col min="1" max="1" width="26.140625" style="4" customWidth="1"/>
    <col min="2" max="2" width="15.140625" style="10" customWidth="1"/>
    <col min="3" max="3" width="13.140625" style="4" customWidth="1"/>
    <col min="4" max="4" width="14.42578125" style="4" customWidth="1"/>
    <col min="5" max="5" width="13.85546875" style="60" customWidth="1"/>
    <col min="6" max="6" width="13.85546875" style="4" customWidth="1"/>
    <col min="7" max="7" width="10.140625" style="4" customWidth="1"/>
    <col min="8" max="8" width="15" style="4" customWidth="1"/>
    <col min="9" max="9" width="14.28515625" style="4" customWidth="1"/>
    <col min="10" max="10" width="14.42578125" style="70" customWidth="1"/>
    <col min="11" max="11" width="14.140625" style="4" customWidth="1"/>
    <col min="12" max="12" width="15.42578125" style="4" customWidth="1"/>
    <col min="13" max="13" width="14.5703125" style="68" customWidth="1"/>
    <col min="14" max="14" width="14.5703125" style="4" customWidth="1"/>
    <col min="15" max="15" width="9.140625" style="4" customWidth="1"/>
    <col min="16" max="16" width="14.7109375" style="4" customWidth="1"/>
    <col min="17" max="17" width="13.140625" style="4" customWidth="1"/>
    <col min="18" max="18" width="14.42578125" style="70" customWidth="1"/>
    <col min="19" max="19" width="16.85546875" style="52" customWidth="1"/>
  </cols>
  <sheetData>
    <row r="1" spans="1:29" x14ac:dyDescent="0.25">
      <c r="A1" s="129" t="s">
        <v>41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4" customHeight="1" x14ac:dyDescent="0.25">
      <c r="A2" s="128" t="s">
        <v>77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6.5" thickBot="1" x14ac:dyDescent="0.3">
      <c r="A3" s="2"/>
      <c r="B3" s="9"/>
      <c r="C3" s="2"/>
      <c r="D3" s="2"/>
      <c r="E3" s="53"/>
      <c r="F3" s="2"/>
      <c r="G3" s="2"/>
      <c r="H3" s="2"/>
      <c r="I3" s="2"/>
      <c r="J3" s="69"/>
      <c r="K3" s="2"/>
      <c r="L3" s="2"/>
      <c r="M3" s="61"/>
      <c r="N3" s="2"/>
      <c r="O3" s="2"/>
      <c r="P3" s="2"/>
      <c r="Q3" s="2"/>
      <c r="R3" s="69"/>
      <c r="S3" s="5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7" customHeight="1" x14ac:dyDescent="0.25">
      <c r="A4" s="133" t="s">
        <v>0</v>
      </c>
      <c r="B4" s="130" t="s">
        <v>42</v>
      </c>
      <c r="C4" s="139" t="s">
        <v>55</v>
      </c>
      <c r="D4" s="139"/>
      <c r="E4" s="139"/>
      <c r="F4" s="139"/>
      <c r="G4" s="139"/>
      <c r="H4" s="139"/>
      <c r="I4" s="139"/>
      <c r="J4" s="140"/>
      <c r="K4" s="133" t="s">
        <v>78</v>
      </c>
      <c r="L4" s="139"/>
      <c r="M4" s="139"/>
      <c r="N4" s="139"/>
      <c r="O4" s="139"/>
      <c r="P4" s="139"/>
      <c r="Q4" s="139"/>
      <c r="R4" s="140"/>
      <c r="S4" s="119" t="s">
        <v>79</v>
      </c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2.25" customHeight="1" x14ac:dyDescent="0.25">
      <c r="A5" s="134"/>
      <c r="B5" s="131"/>
      <c r="C5" s="115" t="s">
        <v>47</v>
      </c>
      <c r="D5" s="115" t="s">
        <v>48</v>
      </c>
      <c r="E5" s="115" t="s">
        <v>1</v>
      </c>
      <c r="F5" s="115"/>
      <c r="G5" s="115"/>
      <c r="H5" s="115"/>
      <c r="I5" s="115"/>
      <c r="J5" s="136" t="s">
        <v>3</v>
      </c>
      <c r="K5" s="141" t="s">
        <v>47</v>
      </c>
      <c r="L5" s="115" t="s">
        <v>4</v>
      </c>
      <c r="M5" s="115" t="s">
        <v>39</v>
      </c>
      <c r="N5" s="115"/>
      <c r="O5" s="115"/>
      <c r="P5" s="115"/>
      <c r="Q5" s="115"/>
      <c r="R5" s="136" t="s">
        <v>3</v>
      </c>
      <c r="S5" s="120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3.25" customHeight="1" x14ac:dyDescent="0.25">
      <c r="A6" s="134"/>
      <c r="B6" s="131"/>
      <c r="C6" s="115"/>
      <c r="D6" s="115"/>
      <c r="E6" s="117" t="s">
        <v>40</v>
      </c>
      <c r="F6" s="122" t="s">
        <v>2</v>
      </c>
      <c r="G6" s="123"/>
      <c r="H6" s="123"/>
      <c r="I6" s="124"/>
      <c r="J6" s="137"/>
      <c r="K6" s="141"/>
      <c r="L6" s="115"/>
      <c r="M6" s="143" t="s">
        <v>40</v>
      </c>
      <c r="N6" s="36"/>
      <c r="O6" s="115" t="s">
        <v>2</v>
      </c>
      <c r="P6" s="115"/>
      <c r="Q6" s="115"/>
      <c r="R6" s="137"/>
      <c r="S6" s="12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64.5" thickBot="1" x14ac:dyDescent="0.3">
      <c r="A7" s="135"/>
      <c r="B7" s="132"/>
      <c r="C7" s="116"/>
      <c r="D7" s="116"/>
      <c r="E7" s="118"/>
      <c r="F7" s="50" t="s">
        <v>44</v>
      </c>
      <c r="G7" s="49" t="s">
        <v>50</v>
      </c>
      <c r="H7" s="49" t="s">
        <v>43</v>
      </c>
      <c r="I7" s="49" t="s">
        <v>49</v>
      </c>
      <c r="J7" s="138"/>
      <c r="K7" s="142"/>
      <c r="L7" s="116"/>
      <c r="M7" s="144"/>
      <c r="N7" s="50" t="s">
        <v>51</v>
      </c>
      <c r="O7" s="49" t="s">
        <v>50</v>
      </c>
      <c r="P7" s="49" t="s">
        <v>43</v>
      </c>
      <c r="Q7" s="49" t="s">
        <v>49</v>
      </c>
      <c r="R7" s="138"/>
      <c r="S7" s="12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77" customFormat="1" thickBot="1" x14ac:dyDescent="0.3">
      <c r="A8" s="71">
        <v>1</v>
      </c>
      <c r="B8" s="72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4">
        <v>10</v>
      </c>
      <c r="K8" s="71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  <c r="Q8" s="73">
        <v>17</v>
      </c>
      <c r="R8" s="74">
        <v>18</v>
      </c>
      <c r="S8" s="75">
        <v>0.19</v>
      </c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x14ac:dyDescent="0.25">
      <c r="A9" s="125" t="s">
        <v>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11" t="s">
        <v>71</v>
      </c>
      <c r="B10" s="48" t="s">
        <v>23</v>
      </c>
      <c r="C10" s="5">
        <v>81.81</v>
      </c>
      <c r="D10" s="5">
        <v>69.08</v>
      </c>
      <c r="E10" s="83">
        <f>25.409224/12</f>
        <v>2.1174353333333333</v>
      </c>
      <c r="F10" s="37"/>
      <c r="G10" s="30" t="s">
        <v>8</v>
      </c>
      <c r="H10" s="30"/>
      <c r="I10" s="30" t="s">
        <v>8</v>
      </c>
      <c r="J10" s="6">
        <f t="shared" ref="J10:J17" si="0">D10*E10</f>
        <v>146.27243282666666</v>
      </c>
      <c r="K10" s="7">
        <f>C10</f>
        <v>81.81</v>
      </c>
      <c r="L10" s="5">
        <f>D10</f>
        <v>69.08</v>
      </c>
      <c r="M10" s="62">
        <f>25.408994/12</f>
        <v>2.1174161666666667</v>
      </c>
      <c r="N10" s="36"/>
      <c r="O10" s="30" t="s">
        <v>8</v>
      </c>
      <c r="P10" s="30" t="s">
        <v>8</v>
      </c>
      <c r="Q10" s="30" t="s">
        <v>8</v>
      </c>
      <c r="R10" s="6">
        <f>L10*M10</f>
        <v>146.27110879333333</v>
      </c>
      <c r="S10" s="8">
        <f>R10/J10</f>
        <v>0.99999094816905865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06"/>
      <c r="B11" s="48" t="s">
        <v>24</v>
      </c>
      <c r="C11" s="24">
        <v>81.81</v>
      </c>
      <c r="D11" s="24">
        <v>69.08</v>
      </c>
      <c r="E11" s="83">
        <f>F11*I11/1000</f>
        <v>3.7019999999999997E-2</v>
      </c>
      <c r="F11" s="82">
        <f>ROUND(G11*H11,2)</f>
        <v>6.17</v>
      </c>
      <c r="G11" s="24">
        <v>7.46</v>
      </c>
      <c r="H11" s="37">
        <v>0.82740000000000002</v>
      </c>
      <c r="I11" s="24">
        <v>6</v>
      </c>
      <c r="J11" s="6">
        <f t="shared" si="0"/>
        <v>2.5573415999999995</v>
      </c>
      <c r="K11" s="103">
        <f>C11</f>
        <v>81.81</v>
      </c>
      <c r="L11" s="102">
        <f>D11</f>
        <v>69.08</v>
      </c>
      <c r="M11" s="62">
        <f>N11*Q11/1000</f>
        <v>3.70389E-2</v>
      </c>
      <c r="N11" s="36">
        <f>ROUND(O11*P11,5)</f>
        <v>6.1731499999999997</v>
      </c>
      <c r="O11" s="24">
        <f>G11</f>
        <v>7.46</v>
      </c>
      <c r="P11" s="27">
        <v>0.82750000000000001</v>
      </c>
      <c r="Q11" s="24">
        <v>6</v>
      </c>
      <c r="R11" s="6">
        <f t="shared" ref="R11:R12" si="1">L11*M11</f>
        <v>2.5586472119999999</v>
      </c>
      <c r="S11" s="8">
        <f t="shared" ref="S11:S18" si="2">R11/J11</f>
        <v>1.0005105348460293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3.25" customHeight="1" x14ac:dyDescent="0.25">
      <c r="A12" s="107"/>
      <c r="B12" s="48" t="s">
        <v>24</v>
      </c>
      <c r="C12" s="5"/>
      <c r="D12" s="5"/>
      <c r="E12" s="83">
        <f>F12*I12*12/1000</f>
        <v>0</v>
      </c>
      <c r="F12" s="82">
        <f>ROUND(G12*H12,5)</f>
        <v>0</v>
      </c>
      <c r="G12" s="5"/>
      <c r="H12" s="37"/>
      <c r="I12" s="5"/>
      <c r="J12" s="6">
        <f t="shared" si="0"/>
        <v>0</v>
      </c>
      <c r="K12" s="7"/>
      <c r="L12" s="5"/>
      <c r="M12" s="62">
        <f>N12*Q12*12/1000</f>
        <v>0</v>
      </c>
      <c r="N12" s="36">
        <f>ROUND(O12*P12,5)</f>
        <v>0</v>
      </c>
      <c r="O12" s="78">
        <f>G12</f>
        <v>0</v>
      </c>
      <c r="P12" s="27"/>
      <c r="Q12" s="25">
        <f>I12</f>
        <v>0</v>
      </c>
      <c r="R12" s="6">
        <f t="shared" si="1"/>
        <v>0</v>
      </c>
      <c r="S12" s="8" t="e">
        <f t="shared" si="2"/>
        <v>#DIV/0!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38" t="s">
        <v>33</v>
      </c>
      <c r="B13" s="39"/>
      <c r="C13" s="40"/>
      <c r="D13" s="40"/>
      <c r="E13" s="84">
        <f>E10+E11+E12</f>
        <v>2.1544553333333334</v>
      </c>
      <c r="F13" s="40"/>
      <c r="G13" s="40"/>
      <c r="H13" s="40"/>
      <c r="I13" s="40"/>
      <c r="J13" s="41">
        <f>SUM(J10:J12)</f>
        <v>148.82977442666666</v>
      </c>
      <c r="K13" s="35"/>
      <c r="L13" s="40"/>
      <c r="M13" s="63">
        <f>M10+M11+M12</f>
        <v>2.1544550666666669</v>
      </c>
      <c r="N13" s="40"/>
      <c r="O13" s="40"/>
      <c r="P13" s="40"/>
      <c r="Q13" s="40"/>
      <c r="R13" s="41">
        <f>SUM(R10:R12)</f>
        <v>148.82975600533334</v>
      </c>
      <c r="S13" s="8">
        <f t="shared" si="2"/>
        <v>0.99999987622548381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11" t="s">
        <v>72</v>
      </c>
      <c r="B14" s="48" t="s">
        <v>23</v>
      </c>
      <c r="C14" s="5">
        <v>26.66</v>
      </c>
      <c r="D14" s="5">
        <v>26.66</v>
      </c>
      <c r="E14" s="54">
        <f>16.17024/12</f>
        <v>1.3475200000000001</v>
      </c>
      <c r="F14" s="37"/>
      <c r="G14" s="30" t="s">
        <v>8</v>
      </c>
      <c r="H14" s="30"/>
      <c r="I14" s="30" t="s">
        <v>8</v>
      </c>
      <c r="J14" s="6">
        <f t="shared" si="0"/>
        <v>35.924883200000004</v>
      </c>
      <c r="K14" s="7">
        <v>23.04</v>
      </c>
      <c r="L14" s="100">
        <v>23.04</v>
      </c>
      <c r="M14" s="62">
        <f>16.170768/12</f>
        <v>1.347564</v>
      </c>
      <c r="N14" s="36"/>
      <c r="O14" s="30" t="s">
        <v>8</v>
      </c>
      <c r="P14" s="30" t="s">
        <v>8</v>
      </c>
      <c r="Q14" s="30" t="s">
        <v>8</v>
      </c>
      <c r="R14" s="6">
        <f>L14*M14</f>
        <v>31.047874559999997</v>
      </c>
      <c r="S14" s="8">
        <f t="shared" si="2"/>
        <v>0.86424427289439298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06"/>
      <c r="B15" s="48" t="s">
        <v>24</v>
      </c>
      <c r="C15" s="87">
        <v>26.66</v>
      </c>
      <c r="D15" s="87">
        <v>26.66</v>
      </c>
      <c r="E15" s="54">
        <f>F15*I15/1000</f>
        <v>0.28248000000000001</v>
      </c>
      <c r="F15" s="37">
        <f>ROUND(G15*H15,2)</f>
        <v>6.42</v>
      </c>
      <c r="G15" s="24">
        <v>7.46</v>
      </c>
      <c r="H15" s="37">
        <v>0.86050000000000004</v>
      </c>
      <c r="I15" s="24">
        <v>44</v>
      </c>
      <c r="J15" s="6">
        <f t="shared" si="0"/>
        <v>7.5309168</v>
      </c>
      <c r="K15" s="100">
        <v>23.04</v>
      </c>
      <c r="L15" s="101">
        <v>23.04</v>
      </c>
      <c r="M15" s="62">
        <f>N15*Q15/1000</f>
        <v>0.32680867999999996</v>
      </c>
      <c r="N15" s="36">
        <f>ROUND(O15*P15,5)</f>
        <v>7.4274699999999996</v>
      </c>
      <c r="O15" s="78">
        <f>G15</f>
        <v>7.46</v>
      </c>
      <c r="P15" s="27">
        <v>0.99563999999999997</v>
      </c>
      <c r="Q15" s="25">
        <v>44</v>
      </c>
      <c r="R15" s="6">
        <f>L14*M15</f>
        <v>7.5296719871999986</v>
      </c>
      <c r="S15" s="8">
        <f t="shared" si="2"/>
        <v>0.99983470634013627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06"/>
      <c r="B16" s="48" t="s">
        <v>24</v>
      </c>
      <c r="C16" s="87"/>
      <c r="D16" s="87"/>
      <c r="E16" s="89">
        <f>F16*I16*12/1000</f>
        <v>0</v>
      </c>
      <c r="F16" s="87">
        <f t="shared" ref="F16:F17" si="3">ROUND(G16*H16,5)</f>
        <v>0</v>
      </c>
      <c r="G16" s="87"/>
      <c r="H16" s="87"/>
      <c r="I16" s="87"/>
      <c r="J16" s="6">
        <f t="shared" si="0"/>
        <v>0</v>
      </c>
      <c r="K16" s="86"/>
      <c r="L16" s="87"/>
      <c r="M16" s="88"/>
      <c r="N16" s="87"/>
      <c r="O16" s="87"/>
      <c r="P16" s="87"/>
      <c r="Q16" s="87"/>
      <c r="R16" s="6"/>
      <c r="S16" s="8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3.25" customHeight="1" x14ac:dyDescent="0.25">
      <c r="A17" s="107"/>
      <c r="B17" s="48" t="s">
        <v>24</v>
      </c>
      <c r="C17" s="87"/>
      <c r="D17" s="87"/>
      <c r="E17" s="98">
        <f>F17*I17*12/1000</f>
        <v>0</v>
      </c>
      <c r="F17" s="87">
        <f t="shared" si="3"/>
        <v>0</v>
      </c>
      <c r="G17" s="87"/>
      <c r="H17" s="87"/>
      <c r="I17" s="87"/>
      <c r="J17" s="6">
        <f t="shared" si="0"/>
        <v>0</v>
      </c>
      <c r="K17" s="86"/>
      <c r="L17" s="87"/>
      <c r="M17" s="88">
        <f>N17*Q17*12/1000</f>
        <v>0</v>
      </c>
      <c r="N17" s="87">
        <f>ROUND(O17*P17,5)</f>
        <v>0</v>
      </c>
      <c r="O17" s="87">
        <f>G17</f>
        <v>0</v>
      </c>
      <c r="P17" s="87"/>
      <c r="Q17" s="87">
        <f>I17</f>
        <v>0</v>
      </c>
      <c r="R17" s="6">
        <f t="shared" ref="R17" si="4">L17*M17</f>
        <v>0</v>
      </c>
      <c r="S17" s="8" t="e">
        <f t="shared" ref="S17" si="5">R17/J17</f>
        <v>#DIV/0!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44" customFormat="1" ht="15.75" customHeight="1" x14ac:dyDescent="0.25">
      <c r="A18" s="38" t="s">
        <v>34</v>
      </c>
      <c r="B18" s="39"/>
      <c r="C18" s="40"/>
      <c r="D18" s="40"/>
      <c r="E18" s="91">
        <f>E14+E15+E16+E17</f>
        <v>1.6300000000000001</v>
      </c>
      <c r="F18" s="40"/>
      <c r="G18" s="40"/>
      <c r="H18" s="40"/>
      <c r="I18" s="40"/>
      <c r="J18" s="41">
        <f>SUM(J14:J17)</f>
        <v>43.455800000000004</v>
      </c>
      <c r="K18" s="35"/>
      <c r="L18" s="40"/>
      <c r="M18" s="63">
        <f>M14+M15+M17</f>
        <v>1.6743726799999998</v>
      </c>
      <c r="N18" s="40"/>
      <c r="O18" s="40"/>
      <c r="P18" s="40"/>
      <c r="Q18" s="40"/>
      <c r="R18" s="41">
        <f>SUM(R14:R17)</f>
        <v>38.577546547199994</v>
      </c>
      <c r="S18" s="42">
        <f t="shared" si="2"/>
        <v>0.88774217819485524</v>
      </c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x14ac:dyDescent="0.25">
      <c r="A19" s="111" t="s">
        <v>76</v>
      </c>
      <c r="B19" s="48" t="s">
        <v>23</v>
      </c>
      <c r="C19" s="94">
        <v>27.67</v>
      </c>
      <c r="D19" s="94">
        <v>27.67</v>
      </c>
      <c r="E19" s="96">
        <f>17.85312/12</f>
        <v>1.48776</v>
      </c>
      <c r="F19" s="94"/>
      <c r="G19" s="30" t="s">
        <v>8</v>
      </c>
      <c r="H19" s="30"/>
      <c r="I19" s="30" t="s">
        <v>8</v>
      </c>
      <c r="J19" s="6">
        <f t="shared" ref="J19:J21" si="6">D19*E19</f>
        <v>41.166319200000004</v>
      </c>
      <c r="K19" s="93">
        <f>C19</f>
        <v>27.67</v>
      </c>
      <c r="L19" s="94">
        <f>D19</f>
        <v>27.67</v>
      </c>
      <c r="M19" s="95">
        <f>17.85093/12</f>
        <v>1.4875775000000002</v>
      </c>
      <c r="N19" s="94"/>
      <c r="O19" s="30" t="s">
        <v>8</v>
      </c>
      <c r="P19" s="30" t="s">
        <v>8</v>
      </c>
      <c r="Q19" s="30" t="s">
        <v>8</v>
      </c>
      <c r="R19" s="6">
        <f t="shared" ref="R19:R21" si="7">L19*M19</f>
        <v>41.161269425000008</v>
      </c>
      <c r="S19" s="8">
        <f>R19/J19</f>
        <v>0.99987733236543541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06"/>
      <c r="B20" s="48" t="s">
        <v>24</v>
      </c>
      <c r="C20" s="94">
        <v>27.67</v>
      </c>
      <c r="D20" s="94">
        <v>27.67</v>
      </c>
      <c r="E20" s="96">
        <f>F20*I20/1000</f>
        <v>0.35224</v>
      </c>
      <c r="F20" s="95">
        <f>ROUND(G20*H20,2)</f>
        <v>6.29</v>
      </c>
      <c r="G20" s="94">
        <v>7.46</v>
      </c>
      <c r="H20" s="94">
        <v>0.84360000000000002</v>
      </c>
      <c r="I20" s="94">
        <v>56</v>
      </c>
      <c r="J20" s="6">
        <f t="shared" si="6"/>
        <v>9.7464808000000005</v>
      </c>
      <c r="K20" s="103">
        <f>C20</f>
        <v>27.67</v>
      </c>
      <c r="L20" s="102">
        <f>D20</f>
        <v>27.67</v>
      </c>
      <c r="M20" s="95">
        <f>N20*Q20/1000</f>
        <v>0.35242256</v>
      </c>
      <c r="N20" s="94">
        <f>ROUND(O20*P20,5)</f>
        <v>6.2932600000000001</v>
      </c>
      <c r="O20" s="94">
        <f>G20</f>
        <v>7.46</v>
      </c>
      <c r="P20" s="94">
        <v>0.84360000000000002</v>
      </c>
      <c r="Q20" s="94">
        <f>I20</f>
        <v>56</v>
      </c>
      <c r="R20" s="6">
        <f t="shared" si="7"/>
        <v>9.7515322352000009</v>
      </c>
      <c r="S20" s="8">
        <f t="shared" ref="S20:S22" si="8">R20/J20</f>
        <v>1.0005182829888712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07"/>
      <c r="B21" s="48" t="s">
        <v>24</v>
      </c>
      <c r="C21" s="94"/>
      <c r="D21" s="94"/>
      <c r="E21" s="96">
        <f>F21*I21*12/1000</f>
        <v>0</v>
      </c>
      <c r="F21" s="95">
        <f>ROUND(G21*H21,5)</f>
        <v>0</v>
      </c>
      <c r="G21" s="94"/>
      <c r="H21" s="94"/>
      <c r="I21" s="94"/>
      <c r="J21" s="6">
        <f t="shared" si="6"/>
        <v>0</v>
      </c>
      <c r="K21" s="93"/>
      <c r="L21" s="94"/>
      <c r="M21" s="95">
        <f>N21*Q21*12/1000</f>
        <v>0</v>
      </c>
      <c r="N21" s="94">
        <f>ROUND(O21*P21,5)</f>
        <v>0</v>
      </c>
      <c r="O21" s="94">
        <f>G21</f>
        <v>0</v>
      </c>
      <c r="P21" s="94"/>
      <c r="Q21" s="94">
        <f>I21</f>
        <v>0</v>
      </c>
      <c r="R21" s="6">
        <f t="shared" si="7"/>
        <v>0</v>
      </c>
      <c r="S21" s="8" t="e">
        <f t="shared" si="8"/>
        <v>#DIV/0!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38" t="s">
        <v>73</v>
      </c>
      <c r="B22" s="39"/>
      <c r="C22" s="40"/>
      <c r="D22" s="40"/>
      <c r="E22" s="84">
        <f>E19+E20+E21</f>
        <v>1.8399999999999999</v>
      </c>
      <c r="F22" s="40"/>
      <c r="G22" s="40"/>
      <c r="H22" s="40"/>
      <c r="I22" s="40"/>
      <c r="J22" s="41">
        <f>SUM(J19:J21)</f>
        <v>50.912800000000004</v>
      </c>
      <c r="K22" s="92"/>
      <c r="L22" s="40"/>
      <c r="M22" s="63">
        <f>M19+M20+M21</f>
        <v>1.8400000600000002</v>
      </c>
      <c r="N22" s="40"/>
      <c r="O22" s="40"/>
      <c r="P22" s="40"/>
      <c r="Q22" s="40"/>
      <c r="R22" s="41">
        <f>SUM(R19:R21)</f>
        <v>50.91280166020001</v>
      </c>
      <c r="S22" s="8">
        <f t="shared" si="8"/>
        <v>1.0000000326086957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5">
      <c r="A23" s="111" t="s">
        <v>75</v>
      </c>
      <c r="B23" s="48" t="s">
        <v>23</v>
      </c>
      <c r="C23" s="94">
        <v>42.42</v>
      </c>
      <c r="D23" s="94">
        <v>42.42</v>
      </c>
      <c r="E23" s="96">
        <f>9.46387/12</f>
        <v>0.78865583333333333</v>
      </c>
      <c r="F23" s="94"/>
      <c r="G23" s="30" t="s">
        <v>8</v>
      </c>
      <c r="H23" s="30"/>
      <c r="I23" s="30" t="s">
        <v>8</v>
      </c>
      <c r="J23" s="6">
        <f t="shared" ref="J23:J25" si="9">D23*E23</f>
        <v>33.454780450000001</v>
      </c>
      <c r="K23" s="93">
        <f>C23</f>
        <v>42.42</v>
      </c>
      <c r="L23" s="94">
        <f>D23</f>
        <v>42.42</v>
      </c>
      <c r="M23" s="95">
        <f>9.46387/12</f>
        <v>0.78865583333333333</v>
      </c>
      <c r="N23" s="94"/>
      <c r="O23" s="30" t="s">
        <v>8</v>
      </c>
      <c r="P23" s="30" t="s">
        <v>8</v>
      </c>
      <c r="Q23" s="30" t="s">
        <v>8</v>
      </c>
      <c r="R23" s="6">
        <f t="shared" ref="R23:R25" si="10">L23*M23</f>
        <v>33.454780450000001</v>
      </c>
      <c r="S23" s="8">
        <f>R23/J23</f>
        <v>1</v>
      </c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44" customFormat="1" ht="15.75" customHeight="1" x14ac:dyDescent="0.25">
      <c r="A24" s="106"/>
      <c r="B24" s="48" t="s">
        <v>24</v>
      </c>
      <c r="C24" s="97">
        <v>42.42</v>
      </c>
      <c r="D24" s="97">
        <v>42.42</v>
      </c>
      <c r="E24" s="96">
        <f>F24*I24/1000</f>
        <v>0.20767758</v>
      </c>
      <c r="F24" s="95">
        <f>ROUND(G24*H24,5)</f>
        <v>6.2932600000000001</v>
      </c>
      <c r="G24" s="94">
        <v>7.46</v>
      </c>
      <c r="H24" s="94">
        <v>0.84360000000000002</v>
      </c>
      <c r="I24" s="94">
        <v>33</v>
      </c>
      <c r="J24" s="6">
        <f t="shared" si="9"/>
        <v>8.8096829436000004</v>
      </c>
      <c r="K24" s="103">
        <f>C24</f>
        <v>42.42</v>
      </c>
      <c r="L24" s="102">
        <f>D24</f>
        <v>42.42</v>
      </c>
      <c r="M24" s="95">
        <f>N24*Q24/1000</f>
        <v>0.20767758</v>
      </c>
      <c r="N24" s="94">
        <f>ROUND(O24*P24,5)</f>
        <v>6.2932600000000001</v>
      </c>
      <c r="O24" s="94">
        <f>G24</f>
        <v>7.46</v>
      </c>
      <c r="P24" s="94">
        <v>0.84360000000000002</v>
      </c>
      <c r="Q24" s="94">
        <f>I24</f>
        <v>33</v>
      </c>
      <c r="R24" s="6">
        <f t="shared" si="10"/>
        <v>8.8096829436000004</v>
      </c>
      <c r="S24" s="8">
        <f t="shared" ref="S24:S26" si="11">R24/J24</f>
        <v>1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x14ac:dyDescent="0.25">
      <c r="A25" s="107"/>
      <c r="B25" s="48" t="s">
        <v>24</v>
      </c>
      <c r="C25" s="94"/>
      <c r="D25" s="94"/>
      <c r="E25" s="96">
        <f>F25*I25*12/1000</f>
        <v>0</v>
      </c>
      <c r="F25" s="95">
        <f>ROUND(G25*H25,5)</f>
        <v>0</v>
      </c>
      <c r="G25" s="94"/>
      <c r="H25" s="94"/>
      <c r="I25" s="94"/>
      <c r="J25" s="6">
        <f t="shared" si="9"/>
        <v>0</v>
      </c>
      <c r="K25" s="93"/>
      <c r="L25" s="94"/>
      <c r="M25" s="95">
        <f>N25*Q25*12/1000</f>
        <v>0</v>
      </c>
      <c r="N25" s="94">
        <f>ROUND(O25*P25,5)</f>
        <v>0</v>
      </c>
      <c r="O25" s="94">
        <f>G25</f>
        <v>0</v>
      </c>
      <c r="P25" s="94"/>
      <c r="Q25" s="94">
        <f>I25</f>
        <v>0</v>
      </c>
      <c r="R25" s="6">
        <f t="shared" si="10"/>
        <v>0</v>
      </c>
      <c r="S25" s="8" t="e">
        <f t="shared" si="11"/>
        <v>#DIV/0!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38" t="s">
        <v>74</v>
      </c>
      <c r="B26" s="39"/>
      <c r="C26" s="40"/>
      <c r="D26" s="40"/>
      <c r="E26" s="84">
        <f>E23+E24+E25</f>
        <v>0.99633341333333336</v>
      </c>
      <c r="F26" s="40"/>
      <c r="G26" s="40"/>
      <c r="H26" s="40"/>
      <c r="I26" s="40"/>
      <c r="J26" s="41">
        <f>SUM(J23:J25)</f>
        <v>42.264463393600003</v>
      </c>
      <c r="K26" s="92"/>
      <c r="L26" s="40"/>
      <c r="M26" s="63">
        <f>M23+M24+M25</f>
        <v>0.99633341333333336</v>
      </c>
      <c r="N26" s="40"/>
      <c r="O26" s="40"/>
      <c r="P26" s="40"/>
      <c r="Q26" s="40"/>
      <c r="R26" s="41">
        <f>SUM(R23:R25)</f>
        <v>42.264463393600003</v>
      </c>
      <c r="S26" s="8">
        <f t="shared" si="11"/>
        <v>1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45" customHeight="1" x14ac:dyDescent="0.25">
      <c r="A27" s="11" t="s">
        <v>9</v>
      </c>
      <c r="B27" s="12"/>
      <c r="C27" s="13"/>
      <c r="D27" s="13"/>
      <c r="E27" s="90">
        <f>E13+E18+E22+E26</f>
        <v>6.6207887466666673</v>
      </c>
      <c r="F27" s="26"/>
      <c r="G27" s="13"/>
      <c r="H27" s="13"/>
      <c r="I27" s="13"/>
      <c r="J27" s="14">
        <f>J13+J18+J22+J26</f>
        <v>285.46283782026666</v>
      </c>
      <c r="K27" s="15"/>
      <c r="L27" s="13"/>
      <c r="M27" s="64">
        <f>M13+M18+M22+M26</f>
        <v>6.6651612200000008</v>
      </c>
      <c r="N27" s="26"/>
      <c r="O27" s="13"/>
      <c r="P27" s="13"/>
      <c r="Q27" s="13"/>
      <c r="R27" s="14">
        <f>R13+R18+R22+R26</f>
        <v>280.58456760633334</v>
      </c>
      <c r="S27" s="16">
        <f>R27/J27</f>
        <v>0.98291101478853515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44" customFormat="1" ht="15.75" customHeight="1" x14ac:dyDescent="0.25">
      <c r="A28" s="108" t="s">
        <v>10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x14ac:dyDescent="0.25">
      <c r="A29" s="111" t="s">
        <v>6</v>
      </c>
      <c r="B29" s="48" t="s">
        <v>23</v>
      </c>
      <c r="C29" s="24"/>
      <c r="D29" s="24"/>
      <c r="E29" s="54"/>
      <c r="F29" s="37"/>
      <c r="G29" s="30" t="s">
        <v>8</v>
      </c>
      <c r="H29" s="30"/>
      <c r="I29" s="30" t="s">
        <v>8</v>
      </c>
      <c r="J29" s="6">
        <f t="shared" ref="J29:J35" si="12">D29*E29</f>
        <v>0</v>
      </c>
      <c r="K29" s="23"/>
      <c r="L29" s="24"/>
      <c r="M29" s="62">
        <f>E29</f>
        <v>0</v>
      </c>
      <c r="N29" s="36"/>
      <c r="O29" s="30" t="s">
        <v>8</v>
      </c>
      <c r="P29" s="30" t="s">
        <v>8</v>
      </c>
      <c r="Q29" s="30" t="s">
        <v>8</v>
      </c>
      <c r="R29" s="6">
        <f t="shared" ref="R29:R35" si="13">L29*M29</f>
        <v>0</v>
      </c>
      <c r="S29" s="8" t="e">
        <f t="shared" ref="S29:S37" si="14">R29/J29</f>
        <v>#DIV/0!</v>
      </c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06"/>
      <c r="B30" s="48" t="s">
        <v>24</v>
      </c>
      <c r="C30" s="24"/>
      <c r="D30" s="24"/>
      <c r="E30" s="79">
        <f>F30*I30*12/1000</f>
        <v>0</v>
      </c>
      <c r="F30" s="78">
        <f>ROUND(G30*H30,5)</f>
        <v>0</v>
      </c>
      <c r="G30" s="24"/>
      <c r="H30" s="37"/>
      <c r="I30" s="24"/>
      <c r="J30" s="6">
        <f>D30*E30</f>
        <v>0</v>
      </c>
      <c r="K30" s="23"/>
      <c r="L30" s="24"/>
      <c r="M30" s="62">
        <f>N30*Q30*12/1000</f>
        <v>0</v>
      </c>
      <c r="N30" s="36">
        <f>ROUND(O30*P30,5)</f>
        <v>0</v>
      </c>
      <c r="O30" s="78">
        <f>G30</f>
        <v>0</v>
      </c>
      <c r="P30" s="27"/>
      <c r="Q30" s="25">
        <f>I30</f>
        <v>0</v>
      </c>
      <c r="R30" s="6">
        <f t="shared" si="13"/>
        <v>0</v>
      </c>
      <c r="S30" s="8" t="e">
        <f t="shared" si="14"/>
        <v>#DIV/0!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07"/>
      <c r="B31" s="48" t="s">
        <v>24</v>
      </c>
      <c r="C31" s="24"/>
      <c r="D31" s="24"/>
      <c r="E31" s="79">
        <f>F31*I31*12/1000</f>
        <v>0</v>
      </c>
      <c r="F31" s="78">
        <f>ROUND(G31*H31,5)</f>
        <v>0</v>
      </c>
      <c r="G31" s="24"/>
      <c r="H31" s="37"/>
      <c r="I31" s="24"/>
      <c r="J31" s="6">
        <f t="shared" si="12"/>
        <v>0</v>
      </c>
      <c r="K31" s="23"/>
      <c r="L31" s="24"/>
      <c r="M31" s="62">
        <f>N31*Q31*12/1000</f>
        <v>0</v>
      </c>
      <c r="N31" s="36">
        <f>ROUND(O31*P31,5)</f>
        <v>0</v>
      </c>
      <c r="O31" s="78">
        <f>G31</f>
        <v>0</v>
      </c>
      <c r="P31" s="27"/>
      <c r="Q31" s="25">
        <f>I31</f>
        <v>0</v>
      </c>
      <c r="R31" s="6">
        <f t="shared" si="13"/>
        <v>0</v>
      </c>
      <c r="S31" s="8" t="e">
        <f t="shared" si="14"/>
        <v>#DIV/0!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2.1" customHeight="1" x14ac:dyDescent="0.25">
      <c r="A32" s="38" t="s">
        <v>33</v>
      </c>
      <c r="B32" s="39"/>
      <c r="C32" s="40"/>
      <c r="D32" s="40"/>
      <c r="E32" s="55">
        <f>E29+E30+E31</f>
        <v>0</v>
      </c>
      <c r="F32" s="40"/>
      <c r="G32" s="40"/>
      <c r="H32" s="40"/>
      <c r="I32" s="40"/>
      <c r="J32" s="41">
        <f>SUM(J29:J31)</f>
        <v>0</v>
      </c>
      <c r="K32" s="35"/>
      <c r="L32" s="40"/>
      <c r="M32" s="63">
        <f>M29+M30+M31</f>
        <v>0</v>
      </c>
      <c r="N32" s="40"/>
      <c r="O32" s="40"/>
      <c r="P32" s="40"/>
      <c r="Q32" s="40"/>
      <c r="R32" s="41">
        <f>SUM(R29:R31)</f>
        <v>0</v>
      </c>
      <c r="S32" s="42" t="e">
        <f t="shared" si="14"/>
        <v>#DIV/0!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11" t="s">
        <v>7</v>
      </c>
      <c r="B33" s="48" t="s">
        <v>23</v>
      </c>
      <c r="C33" s="24"/>
      <c r="D33" s="24"/>
      <c r="E33" s="54"/>
      <c r="F33" s="37"/>
      <c r="G33" s="30" t="s">
        <v>8</v>
      </c>
      <c r="H33" s="30"/>
      <c r="I33" s="30" t="s">
        <v>8</v>
      </c>
      <c r="J33" s="6">
        <f t="shared" si="12"/>
        <v>0</v>
      </c>
      <c r="K33" s="23"/>
      <c r="L33" s="24"/>
      <c r="M33" s="62">
        <f>E33</f>
        <v>0</v>
      </c>
      <c r="N33" s="36"/>
      <c r="O33" s="30" t="s">
        <v>8</v>
      </c>
      <c r="P33" s="30" t="s">
        <v>8</v>
      </c>
      <c r="Q33" s="30" t="s">
        <v>8</v>
      </c>
      <c r="R33" s="6">
        <f t="shared" si="13"/>
        <v>0</v>
      </c>
      <c r="S33" s="8" t="e">
        <f t="shared" si="14"/>
        <v>#DIV/0!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06"/>
      <c r="B34" s="48" t="s">
        <v>24</v>
      </c>
      <c r="C34" s="24"/>
      <c r="D34" s="24"/>
      <c r="E34" s="79">
        <f>F34*I34*12/1000</f>
        <v>0</v>
      </c>
      <c r="F34" s="78">
        <f>ROUND(G34*H34,5)</f>
        <v>0</v>
      </c>
      <c r="G34" s="24"/>
      <c r="H34" s="37"/>
      <c r="I34" s="24"/>
      <c r="J34" s="6">
        <f t="shared" si="12"/>
        <v>0</v>
      </c>
      <c r="K34" s="23"/>
      <c r="L34" s="24"/>
      <c r="M34" s="62">
        <f>N34*Q34*12/1000</f>
        <v>0</v>
      </c>
      <c r="N34" s="36">
        <f>ROUND(O34*P34,5)</f>
        <v>0</v>
      </c>
      <c r="O34" s="78">
        <f>G34</f>
        <v>0</v>
      </c>
      <c r="P34" s="27"/>
      <c r="Q34" s="25">
        <f>I34</f>
        <v>0</v>
      </c>
      <c r="R34" s="6">
        <f t="shared" si="13"/>
        <v>0</v>
      </c>
      <c r="S34" s="8" t="e">
        <f t="shared" si="14"/>
        <v>#DIV/0!</v>
      </c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44" customFormat="1" x14ac:dyDescent="0.25">
      <c r="A35" s="107"/>
      <c r="B35" s="48" t="s">
        <v>24</v>
      </c>
      <c r="C35" s="24"/>
      <c r="D35" s="24"/>
      <c r="E35" s="79">
        <f>F35*I35*12/1000</f>
        <v>0</v>
      </c>
      <c r="F35" s="78">
        <f>ROUND(G35*H35,5)</f>
        <v>0</v>
      </c>
      <c r="G35" s="24"/>
      <c r="H35" s="37"/>
      <c r="I35" s="24"/>
      <c r="J35" s="6">
        <f t="shared" si="12"/>
        <v>0</v>
      </c>
      <c r="K35" s="23"/>
      <c r="L35" s="24"/>
      <c r="M35" s="62">
        <f>N35*Q35*12/1000</f>
        <v>0</v>
      </c>
      <c r="N35" s="36">
        <f>ROUND(O35*P35,5)</f>
        <v>0</v>
      </c>
      <c r="O35" s="78">
        <f>G35</f>
        <v>0</v>
      </c>
      <c r="P35" s="27"/>
      <c r="Q35" s="25">
        <f>I35</f>
        <v>0</v>
      </c>
      <c r="R35" s="6">
        <f t="shared" si="13"/>
        <v>0</v>
      </c>
      <c r="S35" s="8" t="e">
        <f t="shared" si="14"/>
        <v>#DIV/0!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s="44" customFormat="1" x14ac:dyDescent="0.25">
      <c r="A36" s="38" t="s">
        <v>34</v>
      </c>
      <c r="B36" s="39"/>
      <c r="C36" s="40"/>
      <c r="D36" s="40"/>
      <c r="E36" s="55">
        <f>E33+E34+E35</f>
        <v>0</v>
      </c>
      <c r="F36" s="40"/>
      <c r="G36" s="40"/>
      <c r="H36" s="40"/>
      <c r="I36" s="40"/>
      <c r="J36" s="41">
        <f>SUM(J33:J35)</f>
        <v>0</v>
      </c>
      <c r="K36" s="35"/>
      <c r="L36" s="40"/>
      <c r="M36" s="63">
        <f>M33+M34+M35</f>
        <v>0</v>
      </c>
      <c r="N36" s="40"/>
      <c r="O36" s="40"/>
      <c r="P36" s="40"/>
      <c r="Q36" s="40"/>
      <c r="R36" s="41">
        <f>SUM(R33:R35)</f>
        <v>0</v>
      </c>
      <c r="S36" s="42" t="e">
        <f t="shared" si="14"/>
        <v>#DIV/0!</v>
      </c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32.1" customHeight="1" x14ac:dyDescent="0.25">
      <c r="A37" s="11" t="s">
        <v>11</v>
      </c>
      <c r="B37" s="12"/>
      <c r="C37" s="13"/>
      <c r="D37" s="13"/>
      <c r="E37" s="56">
        <f>E32+E36</f>
        <v>0</v>
      </c>
      <c r="F37" s="26"/>
      <c r="G37" s="13"/>
      <c r="H37" s="13"/>
      <c r="I37" s="13"/>
      <c r="J37" s="14">
        <f>J32+J36</f>
        <v>0</v>
      </c>
      <c r="K37" s="15"/>
      <c r="L37" s="13"/>
      <c r="M37" s="64">
        <f>M32+M36</f>
        <v>0</v>
      </c>
      <c r="N37" s="26"/>
      <c r="O37" s="13"/>
      <c r="P37" s="13"/>
      <c r="Q37" s="13"/>
      <c r="R37" s="14">
        <f>R32+R36</f>
        <v>0</v>
      </c>
      <c r="S37" s="16" t="e">
        <f t="shared" si="14"/>
        <v>#DIV/0!</v>
      </c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08" t="s">
        <v>12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33.75" x14ac:dyDescent="0.25">
      <c r="A39" s="106" t="s">
        <v>6</v>
      </c>
      <c r="B39" s="48" t="s">
        <v>35</v>
      </c>
      <c r="C39" s="24"/>
      <c r="D39" s="24"/>
      <c r="E39" s="54"/>
      <c r="F39" s="37"/>
      <c r="G39" s="30" t="s">
        <v>8</v>
      </c>
      <c r="H39" s="30"/>
      <c r="I39" s="30" t="s">
        <v>8</v>
      </c>
      <c r="J39" s="6">
        <f>D39*E39</f>
        <v>0</v>
      </c>
      <c r="K39" s="23"/>
      <c r="L39" s="24"/>
      <c r="M39" s="62"/>
      <c r="N39" s="36"/>
      <c r="O39" s="30" t="s">
        <v>8</v>
      </c>
      <c r="P39" s="30" t="s">
        <v>8</v>
      </c>
      <c r="Q39" s="30" t="s">
        <v>8</v>
      </c>
      <c r="R39" s="6">
        <f>L39*M39</f>
        <v>0</v>
      </c>
      <c r="S39" s="8" t="e">
        <f t="shared" ref="S39:S45" si="15">R39/J39</f>
        <v>#DIV/0!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2.5" x14ac:dyDescent="0.25">
      <c r="A40" s="107"/>
      <c r="B40" s="48" t="s">
        <v>36</v>
      </c>
      <c r="C40" s="24"/>
      <c r="D40" s="24"/>
      <c r="E40" s="54">
        <f>G40*E39</f>
        <v>0</v>
      </c>
      <c r="F40" s="37"/>
      <c r="G40" s="24"/>
      <c r="H40" s="37"/>
      <c r="I40" s="27" t="s">
        <v>8</v>
      </c>
      <c r="J40" s="6">
        <f>D40*E40</f>
        <v>0</v>
      </c>
      <c r="K40" s="23"/>
      <c r="L40" s="24"/>
      <c r="M40" s="62">
        <f>O40*P40*M39</f>
        <v>0</v>
      </c>
      <c r="N40" s="36"/>
      <c r="O40" s="24">
        <f>G40</f>
        <v>0</v>
      </c>
      <c r="P40" s="27"/>
      <c r="Q40" s="30" t="s">
        <v>8</v>
      </c>
      <c r="R40" s="6">
        <f>L40*M40</f>
        <v>0</v>
      </c>
      <c r="S40" s="8" t="e">
        <f t="shared" si="15"/>
        <v>#DIV/0!</v>
      </c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44" customFormat="1" ht="33.75" x14ac:dyDescent="0.25">
      <c r="A41" s="106" t="s">
        <v>7</v>
      </c>
      <c r="B41" s="48" t="s">
        <v>35</v>
      </c>
      <c r="C41" s="24"/>
      <c r="D41" s="24"/>
      <c r="E41" s="54"/>
      <c r="F41" s="37"/>
      <c r="G41" s="30" t="s">
        <v>8</v>
      </c>
      <c r="H41" s="30"/>
      <c r="I41" s="30" t="s">
        <v>8</v>
      </c>
      <c r="J41" s="6">
        <f>D41*E41</f>
        <v>0</v>
      </c>
      <c r="K41" s="23"/>
      <c r="L41" s="24"/>
      <c r="M41" s="62"/>
      <c r="N41" s="36"/>
      <c r="O41" s="30" t="s">
        <v>8</v>
      </c>
      <c r="P41" s="30" t="s">
        <v>8</v>
      </c>
      <c r="Q41" s="30" t="s">
        <v>8</v>
      </c>
      <c r="R41" s="6">
        <f>L41*M41</f>
        <v>0</v>
      </c>
      <c r="S41" s="8" t="e">
        <f t="shared" si="15"/>
        <v>#DIV/0!</v>
      </c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ht="22.5" x14ac:dyDescent="0.25">
      <c r="A42" s="107"/>
      <c r="B42" s="48" t="s">
        <v>36</v>
      </c>
      <c r="C42" s="24"/>
      <c r="D42" s="24"/>
      <c r="E42" s="54">
        <f>G42*E41</f>
        <v>0</v>
      </c>
      <c r="F42" s="37"/>
      <c r="G42" s="24"/>
      <c r="H42" s="37"/>
      <c r="I42" s="27" t="s">
        <v>8</v>
      </c>
      <c r="J42" s="6">
        <f>D42*E42</f>
        <v>0</v>
      </c>
      <c r="K42" s="23"/>
      <c r="L42" s="24"/>
      <c r="M42" s="62">
        <f>O42*P42*M41</f>
        <v>0</v>
      </c>
      <c r="N42" s="36"/>
      <c r="O42" s="24">
        <f>G42</f>
        <v>0</v>
      </c>
      <c r="P42" s="27"/>
      <c r="Q42" s="30" t="s">
        <v>8</v>
      </c>
      <c r="R42" s="6">
        <f>L42*M42</f>
        <v>0</v>
      </c>
      <c r="S42" s="8" t="e">
        <f t="shared" si="15"/>
        <v>#DIV/0!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47.25" x14ac:dyDescent="0.25">
      <c r="A43" s="45" t="s">
        <v>37</v>
      </c>
      <c r="B43" s="39"/>
      <c r="C43" s="40"/>
      <c r="D43" s="40"/>
      <c r="E43" s="57">
        <f>E39+E41</f>
        <v>0</v>
      </c>
      <c r="F43" s="28"/>
      <c r="G43" s="40"/>
      <c r="H43" s="40"/>
      <c r="I43" s="40"/>
      <c r="J43" s="29">
        <f>J39+J41</f>
        <v>0</v>
      </c>
      <c r="K43" s="35"/>
      <c r="L43" s="40"/>
      <c r="M43" s="65">
        <f>M39+M41</f>
        <v>0</v>
      </c>
      <c r="N43" s="28"/>
      <c r="O43" s="40"/>
      <c r="P43" s="40"/>
      <c r="Q43" s="40"/>
      <c r="R43" s="29">
        <f>R39+R41</f>
        <v>0</v>
      </c>
      <c r="S43" s="42" t="e">
        <f t="shared" si="15"/>
        <v>#DIV/0!</v>
      </c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44" customFormat="1" ht="31.5" x14ac:dyDescent="0.25">
      <c r="A44" s="45" t="s">
        <v>38</v>
      </c>
      <c r="B44" s="39"/>
      <c r="C44" s="40"/>
      <c r="D44" s="40"/>
      <c r="E44" s="57">
        <f>E40+E42</f>
        <v>0</v>
      </c>
      <c r="F44" s="28"/>
      <c r="G44" s="40"/>
      <c r="H44" s="40"/>
      <c r="I44" s="40"/>
      <c r="J44" s="29">
        <f>J40+J42</f>
        <v>0</v>
      </c>
      <c r="K44" s="35"/>
      <c r="L44" s="40"/>
      <c r="M44" s="65">
        <f>M40+M42</f>
        <v>0</v>
      </c>
      <c r="N44" s="28"/>
      <c r="O44" s="40"/>
      <c r="P44" s="40"/>
      <c r="Q44" s="40"/>
      <c r="R44" s="29">
        <f>R40+R42</f>
        <v>0</v>
      </c>
      <c r="S44" s="42" t="e">
        <f t="shared" si="15"/>
        <v>#DIV/0!</v>
      </c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32.1" customHeight="1" x14ac:dyDescent="0.25">
      <c r="A45" s="11" t="s">
        <v>13</v>
      </c>
      <c r="B45" s="12"/>
      <c r="C45" s="13"/>
      <c r="D45" s="13"/>
      <c r="E45" s="56"/>
      <c r="F45" s="26"/>
      <c r="G45" s="13"/>
      <c r="H45" s="13"/>
      <c r="I45" s="13"/>
      <c r="J45" s="14">
        <f>J43+J44</f>
        <v>0</v>
      </c>
      <c r="K45" s="15"/>
      <c r="L45" s="13"/>
      <c r="M45" s="64"/>
      <c r="N45" s="26"/>
      <c r="O45" s="13"/>
      <c r="P45" s="13"/>
      <c r="Q45" s="13"/>
      <c r="R45" s="14">
        <f>R43+R44</f>
        <v>0</v>
      </c>
      <c r="S45" s="16" t="e">
        <f t="shared" si="15"/>
        <v>#DIV/0!</v>
      </c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08" t="s">
        <v>14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11" t="s">
        <v>6</v>
      </c>
      <c r="B47" s="48" t="s">
        <v>23</v>
      </c>
      <c r="C47" s="5"/>
      <c r="D47" s="5"/>
      <c r="E47" s="54"/>
      <c r="F47" s="37"/>
      <c r="G47" s="30" t="s">
        <v>8</v>
      </c>
      <c r="H47" s="30"/>
      <c r="I47" s="30" t="s">
        <v>8</v>
      </c>
      <c r="J47" s="6">
        <f>D47*E47</f>
        <v>0</v>
      </c>
      <c r="K47" s="7"/>
      <c r="L47" s="5"/>
      <c r="M47" s="62"/>
      <c r="N47" s="36"/>
      <c r="O47" s="30" t="s">
        <v>8</v>
      </c>
      <c r="P47" s="30" t="s">
        <v>8</v>
      </c>
      <c r="Q47" s="30" t="s">
        <v>8</v>
      </c>
      <c r="R47" s="6">
        <f>L47*M47</f>
        <v>0</v>
      </c>
      <c r="S47" s="8" t="e">
        <f t="shared" ref="S47:S53" si="16">R47/J47</f>
        <v>#DIV/0!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07"/>
      <c r="B48" s="48" t="s">
        <v>24</v>
      </c>
      <c r="C48" s="5"/>
      <c r="D48" s="5"/>
      <c r="E48" s="79">
        <f>F48*I48*12/1000</f>
        <v>0</v>
      </c>
      <c r="F48" s="37"/>
      <c r="G48" s="5"/>
      <c r="H48" s="37"/>
      <c r="I48" s="5"/>
      <c r="J48" s="6">
        <f>D48*E48</f>
        <v>0</v>
      </c>
      <c r="K48" s="7"/>
      <c r="L48" s="5"/>
      <c r="M48" s="62">
        <f>N48*Q48*7/1000</f>
        <v>0</v>
      </c>
      <c r="N48" s="36">
        <f>ROUND(O48*P48,5)</f>
        <v>0</v>
      </c>
      <c r="O48" s="78">
        <f>G48</f>
        <v>0</v>
      </c>
      <c r="P48" s="27"/>
      <c r="Q48" s="25">
        <f>I48</f>
        <v>0</v>
      </c>
      <c r="R48" s="6">
        <f>L48*M48</f>
        <v>0</v>
      </c>
      <c r="S48" s="8" t="e">
        <f t="shared" si="16"/>
        <v>#DIV/0!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38" t="s">
        <v>33</v>
      </c>
      <c r="B49" s="39"/>
      <c r="C49" s="40"/>
      <c r="D49" s="40"/>
      <c r="E49" s="55">
        <f>E47+E48</f>
        <v>0</v>
      </c>
      <c r="F49" s="40"/>
      <c r="G49" s="40"/>
      <c r="H49" s="40"/>
      <c r="I49" s="40"/>
      <c r="J49" s="41">
        <f>J47+J48</f>
        <v>0</v>
      </c>
      <c r="K49" s="35"/>
      <c r="L49" s="40"/>
      <c r="M49" s="63">
        <f>M47+M48</f>
        <v>0</v>
      </c>
      <c r="N49" s="40"/>
      <c r="O49" s="40"/>
      <c r="P49" s="40"/>
      <c r="Q49" s="40"/>
      <c r="R49" s="41">
        <f>R47+R48</f>
        <v>0</v>
      </c>
      <c r="S49" s="42" t="e">
        <f t="shared" si="16"/>
        <v>#DIV/0!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11" t="s">
        <v>7</v>
      </c>
      <c r="B50" s="48" t="s">
        <v>23</v>
      </c>
      <c r="C50" s="5"/>
      <c r="D50" s="5"/>
      <c r="E50" s="54"/>
      <c r="F50" s="37"/>
      <c r="G50" s="30" t="s">
        <v>8</v>
      </c>
      <c r="H50" s="30"/>
      <c r="I50" s="30" t="s">
        <v>8</v>
      </c>
      <c r="J50" s="6">
        <f>D50*E50</f>
        <v>0</v>
      </c>
      <c r="K50" s="7"/>
      <c r="L50" s="5"/>
      <c r="M50" s="62"/>
      <c r="N50" s="36"/>
      <c r="O50" s="30" t="s">
        <v>8</v>
      </c>
      <c r="P50" s="30" t="s">
        <v>8</v>
      </c>
      <c r="Q50" s="30" t="s">
        <v>8</v>
      </c>
      <c r="R50" s="6">
        <f>L50*M50</f>
        <v>0</v>
      </c>
      <c r="S50" s="8" t="e">
        <f t="shared" si="16"/>
        <v>#DIV/0!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07"/>
      <c r="B51" s="48" t="s">
        <v>24</v>
      </c>
      <c r="C51" s="5"/>
      <c r="D51" s="5"/>
      <c r="E51" s="79">
        <f>F51*I51*12/1000</f>
        <v>0</v>
      </c>
      <c r="F51" s="37"/>
      <c r="G51" s="5"/>
      <c r="H51" s="37"/>
      <c r="I51" s="5"/>
      <c r="J51" s="6">
        <f>D51*E51</f>
        <v>0</v>
      </c>
      <c r="K51" s="7"/>
      <c r="L51" s="5"/>
      <c r="M51" s="62">
        <f>N51*Q51*7/1000</f>
        <v>0</v>
      </c>
      <c r="N51" s="36">
        <f>ROUND(O51*P51,5)</f>
        <v>0</v>
      </c>
      <c r="O51" s="78">
        <f>G51</f>
        <v>0</v>
      </c>
      <c r="P51" s="27"/>
      <c r="Q51" s="25">
        <f>I51</f>
        <v>0</v>
      </c>
      <c r="R51" s="6">
        <f>L51*M51</f>
        <v>0</v>
      </c>
      <c r="S51" s="8" t="e">
        <f t="shared" si="16"/>
        <v>#DIV/0!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38" t="s">
        <v>34</v>
      </c>
      <c r="B52" s="39"/>
      <c r="C52" s="40"/>
      <c r="D52" s="40"/>
      <c r="E52" s="55">
        <f>E50+E51</f>
        <v>0</v>
      </c>
      <c r="F52" s="40"/>
      <c r="G52" s="40"/>
      <c r="H52" s="40"/>
      <c r="I52" s="40"/>
      <c r="J52" s="41">
        <f>J50+J51</f>
        <v>0</v>
      </c>
      <c r="K52" s="35"/>
      <c r="L52" s="40"/>
      <c r="M52" s="63">
        <f>M50+M51</f>
        <v>0</v>
      </c>
      <c r="N52" s="40"/>
      <c r="O52" s="40"/>
      <c r="P52" s="40"/>
      <c r="Q52" s="40"/>
      <c r="R52" s="41">
        <f>R50+R51</f>
        <v>0</v>
      </c>
      <c r="S52" s="42" t="e">
        <f t="shared" si="16"/>
        <v>#DIV/0!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1" t="s">
        <v>15</v>
      </c>
      <c r="B53" s="12"/>
      <c r="C53" s="13"/>
      <c r="D53" s="13"/>
      <c r="E53" s="56">
        <f>E49+E52</f>
        <v>0</v>
      </c>
      <c r="F53" s="26"/>
      <c r="G53" s="13"/>
      <c r="H53" s="13"/>
      <c r="I53" s="13"/>
      <c r="J53" s="26">
        <f>J49+J52</f>
        <v>0</v>
      </c>
      <c r="K53" s="15"/>
      <c r="L53" s="13"/>
      <c r="M53" s="64">
        <f>M49+M52</f>
        <v>0</v>
      </c>
      <c r="N53" s="26"/>
      <c r="O53" s="13"/>
      <c r="P53" s="13"/>
      <c r="Q53" s="13"/>
      <c r="R53" s="26">
        <f>R49+R52</f>
        <v>0</v>
      </c>
      <c r="S53" s="16" t="e">
        <f t="shared" si="16"/>
        <v>#DIV/0!</v>
      </c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08" t="s">
        <v>16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0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0.25" customHeight="1" x14ac:dyDescent="0.25">
      <c r="A55" s="111" t="s">
        <v>64</v>
      </c>
      <c r="B55" s="48" t="s">
        <v>17</v>
      </c>
      <c r="C55" s="5">
        <v>2.98</v>
      </c>
      <c r="D55" s="5">
        <f>C55</f>
        <v>2.98</v>
      </c>
      <c r="E55" s="54">
        <f>5440.4/12</f>
        <v>453.36666666666662</v>
      </c>
      <c r="F55" s="78" t="s">
        <v>8</v>
      </c>
      <c r="G55" s="30" t="s">
        <v>8</v>
      </c>
      <c r="H55" s="30" t="s">
        <v>8</v>
      </c>
      <c r="I55" s="30" t="s">
        <v>8</v>
      </c>
      <c r="J55" s="6">
        <f t="shared" ref="J55:J60" si="17">D55*E55</f>
        <v>1351.0326666666665</v>
      </c>
      <c r="K55" s="7">
        <f>C55</f>
        <v>2.98</v>
      </c>
      <c r="L55" s="5">
        <f>K55</f>
        <v>2.98</v>
      </c>
      <c r="M55" s="62">
        <f>E55</f>
        <v>453.36666666666662</v>
      </c>
      <c r="N55" s="78" t="s">
        <v>8</v>
      </c>
      <c r="O55" s="30" t="s">
        <v>8</v>
      </c>
      <c r="P55" s="30" t="s">
        <v>8</v>
      </c>
      <c r="Q55" s="30" t="s">
        <v>8</v>
      </c>
      <c r="R55" s="6">
        <f t="shared" ref="R55:R60" si="18">L55*M55</f>
        <v>1351.0326666666665</v>
      </c>
      <c r="S55" s="8">
        <f t="shared" ref="S55:S61" si="19">R55/J55</f>
        <v>1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0.25" customHeight="1" x14ac:dyDescent="0.25">
      <c r="A56" s="106"/>
      <c r="B56" s="48" t="s">
        <v>18</v>
      </c>
      <c r="C56" s="5">
        <v>3.42</v>
      </c>
      <c r="D56" s="85">
        <f>C56</f>
        <v>3.42</v>
      </c>
      <c r="E56" s="54">
        <f>17.9/12</f>
        <v>1.4916666666666665</v>
      </c>
      <c r="F56" s="78" t="s">
        <v>8</v>
      </c>
      <c r="G56" s="30" t="s">
        <v>8</v>
      </c>
      <c r="H56" s="30" t="s">
        <v>8</v>
      </c>
      <c r="I56" s="30" t="s">
        <v>8</v>
      </c>
      <c r="J56" s="6">
        <f t="shared" si="17"/>
        <v>5.1014999999999988</v>
      </c>
      <c r="K56" s="7">
        <f>C56</f>
        <v>3.42</v>
      </c>
      <c r="L56" s="5">
        <f t="shared" ref="L56:L60" si="20">K56</f>
        <v>3.42</v>
      </c>
      <c r="M56" s="62">
        <f t="shared" ref="M56:M60" si="21">E56</f>
        <v>1.4916666666666665</v>
      </c>
      <c r="N56" s="78" t="s">
        <v>8</v>
      </c>
      <c r="O56" s="30" t="s">
        <v>8</v>
      </c>
      <c r="P56" s="30" t="s">
        <v>8</v>
      </c>
      <c r="Q56" s="30" t="s">
        <v>8</v>
      </c>
      <c r="R56" s="6">
        <f t="shared" si="18"/>
        <v>5.1014999999999988</v>
      </c>
      <c r="S56" s="8">
        <f t="shared" si="19"/>
        <v>1</v>
      </c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0.75" customHeight="1" x14ac:dyDescent="0.25">
      <c r="A57" s="106"/>
      <c r="B57" s="48" t="s">
        <v>19</v>
      </c>
      <c r="C57" s="5">
        <v>1.79</v>
      </c>
      <c r="D57" s="5">
        <f t="shared" ref="D57:D60" si="22">C57</f>
        <v>1.79</v>
      </c>
      <c r="E57" s="54">
        <f>5.94/12</f>
        <v>0.49500000000000005</v>
      </c>
      <c r="F57" s="78" t="s">
        <v>8</v>
      </c>
      <c r="G57" s="30" t="s">
        <v>8</v>
      </c>
      <c r="H57" s="30" t="s">
        <v>8</v>
      </c>
      <c r="I57" s="30" t="s">
        <v>8</v>
      </c>
      <c r="J57" s="6">
        <f t="shared" si="17"/>
        <v>0.88605000000000012</v>
      </c>
      <c r="K57" s="7">
        <f>C57</f>
        <v>1.79</v>
      </c>
      <c r="L57" s="5">
        <f t="shared" si="20"/>
        <v>1.79</v>
      </c>
      <c r="M57" s="62">
        <f t="shared" si="21"/>
        <v>0.49500000000000005</v>
      </c>
      <c r="N57" s="78" t="s">
        <v>8</v>
      </c>
      <c r="O57" s="30" t="s">
        <v>8</v>
      </c>
      <c r="P57" s="30" t="s">
        <v>8</v>
      </c>
      <c r="Q57" s="30" t="s">
        <v>8</v>
      </c>
      <c r="R57" s="6">
        <f t="shared" si="18"/>
        <v>0.88605000000000012</v>
      </c>
      <c r="S57" s="8">
        <f t="shared" si="19"/>
        <v>1</v>
      </c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 x14ac:dyDescent="0.25">
      <c r="A58" s="106"/>
      <c r="B58" s="48" t="s">
        <v>20</v>
      </c>
      <c r="C58" s="5"/>
      <c r="D58" s="5">
        <f t="shared" si="22"/>
        <v>0</v>
      </c>
      <c r="E58" s="54"/>
      <c r="F58" s="78" t="s">
        <v>8</v>
      </c>
      <c r="G58" s="30" t="s">
        <v>8</v>
      </c>
      <c r="H58" s="30" t="s">
        <v>8</v>
      </c>
      <c r="I58" s="30" t="s">
        <v>8</v>
      </c>
      <c r="J58" s="6">
        <f t="shared" si="17"/>
        <v>0</v>
      </c>
      <c r="K58" s="7"/>
      <c r="L58" s="5">
        <f t="shared" si="20"/>
        <v>0</v>
      </c>
      <c r="M58" s="62">
        <f t="shared" si="21"/>
        <v>0</v>
      </c>
      <c r="N58" s="78" t="s">
        <v>8</v>
      </c>
      <c r="O58" s="30" t="s">
        <v>8</v>
      </c>
      <c r="P58" s="30" t="s">
        <v>8</v>
      </c>
      <c r="Q58" s="30" t="s">
        <v>8</v>
      </c>
      <c r="R58" s="6">
        <f t="shared" si="18"/>
        <v>0</v>
      </c>
      <c r="S58" s="8" t="e">
        <f t="shared" si="19"/>
        <v>#DIV/0!</v>
      </c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3.25" customHeight="1" x14ac:dyDescent="0.25">
      <c r="A59" s="106"/>
      <c r="B59" s="48" t="s">
        <v>21</v>
      </c>
      <c r="C59" s="5"/>
      <c r="D59" s="5">
        <f t="shared" si="22"/>
        <v>0</v>
      </c>
      <c r="E59" s="54"/>
      <c r="F59" s="78" t="s">
        <v>8</v>
      </c>
      <c r="G59" s="30" t="s">
        <v>8</v>
      </c>
      <c r="H59" s="30" t="s">
        <v>8</v>
      </c>
      <c r="I59" s="30" t="s">
        <v>8</v>
      </c>
      <c r="J59" s="6">
        <f t="shared" si="17"/>
        <v>0</v>
      </c>
      <c r="K59" s="7"/>
      <c r="L59" s="5">
        <f t="shared" si="20"/>
        <v>0</v>
      </c>
      <c r="M59" s="62">
        <f t="shared" si="21"/>
        <v>0</v>
      </c>
      <c r="N59" s="78" t="s">
        <v>8</v>
      </c>
      <c r="O59" s="30" t="s">
        <v>8</v>
      </c>
      <c r="P59" s="30" t="s">
        <v>8</v>
      </c>
      <c r="Q59" s="30" t="s">
        <v>8</v>
      </c>
      <c r="R59" s="6">
        <f t="shared" si="18"/>
        <v>0</v>
      </c>
      <c r="S59" s="8" t="e">
        <f t="shared" si="19"/>
        <v>#DIV/0!</v>
      </c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2.1" customHeight="1" x14ac:dyDescent="0.25">
      <c r="A60" s="107"/>
      <c r="B60" s="48" t="s">
        <v>22</v>
      </c>
      <c r="C60" s="5"/>
      <c r="D60" s="5">
        <f t="shared" si="22"/>
        <v>0</v>
      </c>
      <c r="E60" s="54"/>
      <c r="F60" s="78" t="s">
        <v>8</v>
      </c>
      <c r="G60" s="30" t="s">
        <v>8</v>
      </c>
      <c r="H60" s="30" t="s">
        <v>8</v>
      </c>
      <c r="I60" s="30" t="s">
        <v>8</v>
      </c>
      <c r="J60" s="6">
        <f t="shared" si="17"/>
        <v>0</v>
      </c>
      <c r="K60" s="7"/>
      <c r="L60" s="5">
        <f t="shared" si="20"/>
        <v>0</v>
      </c>
      <c r="M60" s="62">
        <f t="shared" si="21"/>
        <v>0</v>
      </c>
      <c r="N60" s="78" t="s">
        <v>8</v>
      </c>
      <c r="O60" s="30" t="s">
        <v>8</v>
      </c>
      <c r="P60" s="30" t="s">
        <v>8</v>
      </c>
      <c r="Q60" s="30" t="s">
        <v>8</v>
      </c>
      <c r="R60" s="6">
        <f t="shared" si="18"/>
        <v>0</v>
      </c>
      <c r="S60" s="8" t="e">
        <f t="shared" si="19"/>
        <v>#DIV/0!</v>
      </c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" customHeight="1" x14ac:dyDescent="0.25">
      <c r="A61" s="11" t="s">
        <v>25</v>
      </c>
      <c r="B61" s="12"/>
      <c r="C61" s="13"/>
      <c r="D61" s="13"/>
      <c r="E61" s="56">
        <f>SUM(E55:E60)</f>
        <v>455.3533333333333</v>
      </c>
      <c r="F61" s="26"/>
      <c r="G61" s="13"/>
      <c r="H61" s="13"/>
      <c r="I61" s="13"/>
      <c r="J61" s="14">
        <f>SUM(J55:J60)</f>
        <v>1357.0202166666666</v>
      </c>
      <c r="K61" s="15"/>
      <c r="L61" s="13"/>
      <c r="M61" s="64">
        <f>SUM(M55:M60)</f>
        <v>455.3533333333333</v>
      </c>
      <c r="N61" s="26"/>
      <c r="O61" s="13"/>
      <c r="P61" s="13"/>
      <c r="Q61" s="13"/>
      <c r="R61" s="14">
        <f>SUM(R55:R60)</f>
        <v>1357.0202166666666</v>
      </c>
      <c r="S61" s="16">
        <f t="shared" si="19"/>
        <v>1</v>
      </c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4" customHeight="1" x14ac:dyDescent="0.25">
      <c r="A62" s="108" t="s">
        <v>26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" x14ac:dyDescent="0.25">
      <c r="A63" s="111" t="s">
        <v>65</v>
      </c>
      <c r="B63" s="112" t="s">
        <v>56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4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78.75" x14ac:dyDescent="0.25">
      <c r="A64" s="106"/>
      <c r="B64" s="48" t="s">
        <v>57</v>
      </c>
      <c r="C64" s="78">
        <v>6.71</v>
      </c>
      <c r="D64" s="78">
        <f t="shared" ref="D64:D66" si="23">C64</f>
        <v>6.71</v>
      </c>
      <c r="E64" s="79">
        <f>195.521/12</f>
        <v>16.293416666666666</v>
      </c>
      <c r="F64" s="78"/>
      <c r="G64" s="30" t="s">
        <v>8</v>
      </c>
      <c r="H64" s="30"/>
      <c r="I64" s="30" t="s">
        <v>8</v>
      </c>
      <c r="J64" s="6">
        <f t="shared" ref="J64:J66" si="24">D64*E64</f>
        <v>109.32882583333333</v>
      </c>
      <c r="K64" s="80">
        <f>C64</f>
        <v>6.71</v>
      </c>
      <c r="L64" s="78">
        <f>K64</f>
        <v>6.71</v>
      </c>
      <c r="M64" s="81">
        <f>E64</f>
        <v>16.293416666666666</v>
      </c>
      <c r="N64" s="78"/>
      <c r="O64" s="30" t="s">
        <v>8</v>
      </c>
      <c r="P64" s="78" t="s">
        <v>8</v>
      </c>
      <c r="Q64" s="30" t="s">
        <v>8</v>
      </c>
      <c r="R64" s="6">
        <f>L64*M64</f>
        <v>109.32882583333333</v>
      </c>
      <c r="S64" s="8">
        <f>R64/J64</f>
        <v>1</v>
      </c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62.25" customHeight="1" x14ac:dyDescent="0.25">
      <c r="A65" s="106"/>
      <c r="B65" s="48" t="s">
        <v>58</v>
      </c>
      <c r="C65" s="78">
        <v>6.67</v>
      </c>
      <c r="D65" s="78">
        <f t="shared" si="23"/>
        <v>6.67</v>
      </c>
      <c r="E65" s="79">
        <f>604.7/12</f>
        <v>50.391666666666673</v>
      </c>
      <c r="F65" s="78"/>
      <c r="G65" s="30" t="s">
        <v>8</v>
      </c>
      <c r="H65" s="30"/>
      <c r="I65" s="30" t="s">
        <v>8</v>
      </c>
      <c r="J65" s="6">
        <f t="shared" si="24"/>
        <v>336.11241666666672</v>
      </c>
      <c r="K65" s="80">
        <f>C65</f>
        <v>6.67</v>
      </c>
      <c r="L65" s="78">
        <f>K65</f>
        <v>6.67</v>
      </c>
      <c r="M65" s="81">
        <f>E65</f>
        <v>50.391666666666673</v>
      </c>
      <c r="N65" s="78"/>
      <c r="O65" s="30" t="s">
        <v>8</v>
      </c>
      <c r="P65" s="78" t="s">
        <v>8</v>
      </c>
      <c r="Q65" s="30" t="s">
        <v>8</v>
      </c>
      <c r="R65" s="6">
        <f>L65*M65</f>
        <v>336.11241666666672</v>
      </c>
      <c r="S65" s="8">
        <f>R65/J65</f>
        <v>1</v>
      </c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57" customHeight="1" x14ac:dyDescent="0.25">
      <c r="A66" s="106"/>
      <c r="B66" s="48" t="s">
        <v>59</v>
      </c>
      <c r="C66" s="78">
        <v>6.5590000000000002</v>
      </c>
      <c r="D66" s="78">
        <f t="shared" si="23"/>
        <v>6.5590000000000002</v>
      </c>
      <c r="E66" s="79">
        <f>8185.78/12</f>
        <v>682.14833333333331</v>
      </c>
      <c r="F66" s="78"/>
      <c r="G66" s="30" t="s">
        <v>8</v>
      </c>
      <c r="H66" s="30"/>
      <c r="I66" s="30" t="s">
        <v>8</v>
      </c>
      <c r="J66" s="6">
        <f t="shared" si="24"/>
        <v>4474.2109183333332</v>
      </c>
      <c r="K66" s="80">
        <f>C66</f>
        <v>6.5590000000000002</v>
      </c>
      <c r="L66" s="78">
        <f>K66</f>
        <v>6.5590000000000002</v>
      </c>
      <c r="M66" s="81">
        <f>E66</f>
        <v>682.14833333333331</v>
      </c>
      <c r="N66" s="78"/>
      <c r="O66" s="30" t="s">
        <v>8</v>
      </c>
      <c r="P66" s="78" t="s">
        <v>8</v>
      </c>
      <c r="Q66" s="30" t="s">
        <v>8</v>
      </c>
      <c r="R66" s="6">
        <f>L66*M66</f>
        <v>4474.2109183333332</v>
      </c>
      <c r="S66" s="8">
        <f>R66/J66</f>
        <v>1</v>
      </c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" x14ac:dyDescent="0.25">
      <c r="A67" s="106"/>
      <c r="B67" s="112" t="s">
        <v>60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4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2.5" x14ac:dyDescent="0.25">
      <c r="A68" s="106"/>
      <c r="B68" s="48" t="s">
        <v>61</v>
      </c>
      <c r="C68" s="5">
        <v>6.71</v>
      </c>
      <c r="D68" s="5">
        <f>C68</f>
        <v>6.71</v>
      </c>
      <c r="E68" s="54">
        <f>G68*I68/1000</f>
        <v>0.97499999999999998</v>
      </c>
      <c r="F68" s="78" t="s">
        <v>8</v>
      </c>
      <c r="G68" s="5">
        <v>13</v>
      </c>
      <c r="H68" s="78" t="s">
        <v>8</v>
      </c>
      <c r="I68" s="5">
        <v>75</v>
      </c>
      <c r="J68" s="6">
        <f>D68*E68</f>
        <v>6.5422500000000001</v>
      </c>
      <c r="K68" s="7">
        <f>C68</f>
        <v>6.71</v>
      </c>
      <c r="L68" s="5">
        <f>K68</f>
        <v>6.71</v>
      </c>
      <c r="M68" s="62">
        <f>O68*Q68/1000</f>
        <v>0.97499999999999998</v>
      </c>
      <c r="N68" s="78" t="s">
        <v>8</v>
      </c>
      <c r="O68" s="24">
        <f t="shared" ref="O68:O70" si="25">G68</f>
        <v>13</v>
      </c>
      <c r="P68" s="27" t="s">
        <v>8</v>
      </c>
      <c r="Q68" s="25">
        <f>I68</f>
        <v>75</v>
      </c>
      <c r="R68" s="6">
        <f>L68*M68</f>
        <v>6.5422500000000001</v>
      </c>
      <c r="S68" s="8">
        <f>R68/J68</f>
        <v>1</v>
      </c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06"/>
      <c r="B69" s="48" t="s">
        <v>62</v>
      </c>
      <c r="C69" s="5">
        <v>6.67</v>
      </c>
      <c r="D69" s="5">
        <f>C69</f>
        <v>6.67</v>
      </c>
      <c r="E69" s="54">
        <f>G69*I69/1000</f>
        <v>3.00664</v>
      </c>
      <c r="F69" s="78" t="s">
        <v>8</v>
      </c>
      <c r="G69" s="5">
        <v>16.52</v>
      </c>
      <c r="H69" s="78" t="s">
        <v>8</v>
      </c>
      <c r="I69" s="5">
        <v>182</v>
      </c>
      <c r="J69" s="6">
        <f>D69*E69</f>
        <v>20.054288799999998</v>
      </c>
      <c r="K69" s="7">
        <f>C69</f>
        <v>6.67</v>
      </c>
      <c r="L69" s="5">
        <f>K69</f>
        <v>6.67</v>
      </c>
      <c r="M69" s="62">
        <f>O69*Q69/1000</f>
        <v>3.00664</v>
      </c>
      <c r="N69" s="78" t="s">
        <v>8</v>
      </c>
      <c r="O69" s="24">
        <f t="shared" si="25"/>
        <v>16.52</v>
      </c>
      <c r="P69" s="27" t="s">
        <v>8</v>
      </c>
      <c r="Q69" s="25">
        <f>I69</f>
        <v>182</v>
      </c>
      <c r="R69" s="6">
        <f>L69*M69</f>
        <v>20.054288799999998</v>
      </c>
      <c r="S69" s="8">
        <f>R69/J69</f>
        <v>1</v>
      </c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07"/>
      <c r="B70" s="48" t="s">
        <v>63</v>
      </c>
      <c r="C70" s="5">
        <v>6.5590000000000002</v>
      </c>
      <c r="D70" s="5">
        <f>C70</f>
        <v>6.5590000000000002</v>
      </c>
      <c r="E70" s="54">
        <f>G70*I70/1000</f>
        <v>69.83717200000001</v>
      </c>
      <c r="F70" s="78" t="s">
        <v>8</v>
      </c>
      <c r="G70" s="5">
        <v>12.4</v>
      </c>
      <c r="H70" s="78" t="s">
        <v>8</v>
      </c>
      <c r="I70" s="5">
        <v>5632.03</v>
      </c>
      <c r="J70" s="6">
        <f>D70*E70</f>
        <v>458.06201114800007</v>
      </c>
      <c r="K70" s="7">
        <f>C70</f>
        <v>6.5590000000000002</v>
      </c>
      <c r="L70" s="5">
        <f>K70</f>
        <v>6.5590000000000002</v>
      </c>
      <c r="M70" s="62">
        <f>O70*Q70/1000</f>
        <v>69.83717200000001</v>
      </c>
      <c r="N70" s="78" t="s">
        <v>8</v>
      </c>
      <c r="O70" s="24">
        <f t="shared" si="25"/>
        <v>12.4</v>
      </c>
      <c r="P70" s="27" t="s">
        <v>8</v>
      </c>
      <c r="Q70" s="25">
        <f>I70</f>
        <v>5632.03</v>
      </c>
      <c r="R70" s="6">
        <f>L70*M70</f>
        <v>458.06201114800007</v>
      </c>
      <c r="S70" s="8">
        <f>R70/J70</f>
        <v>1</v>
      </c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47.25" x14ac:dyDescent="0.25">
      <c r="A71" s="11" t="s">
        <v>27</v>
      </c>
      <c r="B71" s="12"/>
      <c r="C71" s="13"/>
      <c r="D71" s="13"/>
      <c r="E71" s="56">
        <f>E64+E65+E66+E68+E69+E70</f>
        <v>822.65222866666659</v>
      </c>
      <c r="F71" s="26"/>
      <c r="G71" s="13"/>
      <c r="H71" s="13"/>
      <c r="I71" s="13"/>
      <c r="J71" s="26">
        <f>J64+J65+J66+J68+J69+J70</f>
        <v>5404.3107107813339</v>
      </c>
      <c r="K71" s="15"/>
      <c r="L71" s="13"/>
      <c r="M71" s="56">
        <f>M64+M65+M66+M68+M69+M70</f>
        <v>822.65222866666659</v>
      </c>
      <c r="N71" s="26"/>
      <c r="O71" s="13"/>
      <c r="P71" s="13"/>
      <c r="Q71" s="13"/>
      <c r="R71" s="26">
        <f>R64+R65+R66+R68+R69+R70</f>
        <v>5404.3107107813339</v>
      </c>
      <c r="S71" s="16">
        <f>R71/J71</f>
        <v>1</v>
      </c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08" t="s">
        <v>52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10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3" t="s">
        <v>6</v>
      </c>
      <c r="B73" s="48" t="s">
        <v>24</v>
      </c>
      <c r="C73" s="37"/>
      <c r="D73" s="37">
        <f>C73</f>
        <v>0</v>
      </c>
      <c r="E73" s="54">
        <f>G73*I73*7/1000</f>
        <v>0</v>
      </c>
      <c r="F73" s="47"/>
      <c r="G73" s="47">
        <v>2.5</v>
      </c>
      <c r="H73" s="47"/>
      <c r="I73" s="47"/>
      <c r="J73" s="6">
        <f>D73*E73</f>
        <v>0</v>
      </c>
      <c r="K73" s="37"/>
      <c r="L73" s="37">
        <f>K73</f>
        <v>0</v>
      </c>
      <c r="M73" s="62">
        <f>N73*Q73*12/1000</f>
        <v>0</v>
      </c>
      <c r="N73" s="47">
        <f>ROUND(O73*P73,5)</f>
        <v>0</v>
      </c>
      <c r="O73" s="47">
        <f>G73</f>
        <v>2.5</v>
      </c>
      <c r="P73" s="47"/>
      <c r="Q73" s="47">
        <f>I73</f>
        <v>0</v>
      </c>
      <c r="R73" s="6">
        <f>L73*M73</f>
        <v>0</v>
      </c>
      <c r="S73" s="8" t="e">
        <f>R73/J73</f>
        <v>#DIV/0!</v>
      </c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3" t="s">
        <v>7</v>
      </c>
      <c r="B74" s="48" t="s">
        <v>24</v>
      </c>
      <c r="C74" s="37"/>
      <c r="D74" s="37">
        <f>C74</f>
        <v>0</v>
      </c>
      <c r="E74" s="54">
        <f>G74*I74*7/1000</f>
        <v>0</v>
      </c>
      <c r="F74" s="47"/>
      <c r="G74" s="47">
        <v>2.5</v>
      </c>
      <c r="H74" s="47"/>
      <c r="I74" s="47"/>
      <c r="J74" s="6">
        <f>D74*E74</f>
        <v>0</v>
      </c>
      <c r="K74" s="37"/>
      <c r="L74" s="37">
        <f>K74</f>
        <v>0</v>
      </c>
      <c r="M74" s="62">
        <f>N74*Q74*12/1000</f>
        <v>0</v>
      </c>
      <c r="N74" s="47">
        <f>ROUND(O74*P74,5)</f>
        <v>0</v>
      </c>
      <c r="O74" s="47">
        <f>G74</f>
        <v>2.5</v>
      </c>
      <c r="P74" s="47"/>
      <c r="Q74" s="47">
        <f>I74</f>
        <v>0</v>
      </c>
      <c r="R74" s="6">
        <f>L74*M74</f>
        <v>0</v>
      </c>
      <c r="S74" s="8" t="e">
        <f>R74/J74</f>
        <v>#DIV/0!</v>
      </c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31.5" x14ac:dyDescent="0.25">
      <c r="A75" s="11" t="s">
        <v>28</v>
      </c>
      <c r="B75" s="12"/>
      <c r="C75" s="13"/>
      <c r="D75" s="13"/>
      <c r="E75" s="56">
        <f>SUM(E73:E74)</f>
        <v>0</v>
      </c>
      <c r="F75" s="26"/>
      <c r="G75" s="13"/>
      <c r="H75" s="13"/>
      <c r="I75" s="13"/>
      <c r="J75" s="14">
        <f>SUM(J73:J74)</f>
        <v>0</v>
      </c>
      <c r="K75" s="15"/>
      <c r="L75" s="13"/>
      <c r="M75" s="64">
        <f>SUM(M73:M74)</f>
        <v>0</v>
      </c>
      <c r="N75" s="26"/>
      <c r="O75" s="13"/>
      <c r="P75" s="13"/>
      <c r="Q75" s="13"/>
      <c r="R75" s="14">
        <f>SUM(R73:R74)</f>
        <v>0</v>
      </c>
      <c r="S75" s="16" t="e">
        <f>R75/J75</f>
        <v>#DIV/0!</v>
      </c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08" t="s">
        <v>53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10"/>
    </row>
    <row r="77" spans="1:29" x14ac:dyDescent="0.25">
      <c r="A77" s="3" t="s">
        <v>67</v>
      </c>
      <c r="B77" s="48" t="s">
        <v>69</v>
      </c>
      <c r="C77" s="5"/>
      <c r="D77" s="5">
        <f>C77</f>
        <v>0</v>
      </c>
      <c r="E77" s="54">
        <v>1.0999999999999999E-2</v>
      </c>
      <c r="F77" s="78" t="s">
        <v>8</v>
      </c>
      <c r="G77" s="30" t="s">
        <v>8</v>
      </c>
      <c r="H77" s="30" t="s">
        <v>8</v>
      </c>
      <c r="I77" s="30" t="s">
        <v>8</v>
      </c>
      <c r="J77" s="6">
        <f>D77*E77</f>
        <v>0</v>
      </c>
      <c r="K77" s="5">
        <f>ROUNDDOWN(C77*1.039,2)</f>
        <v>0</v>
      </c>
      <c r="L77" s="5">
        <f>K77</f>
        <v>0</v>
      </c>
      <c r="M77" s="62">
        <f>E77</f>
        <v>1.0999999999999999E-2</v>
      </c>
      <c r="N77" s="78" t="s">
        <v>8</v>
      </c>
      <c r="O77" s="30" t="s">
        <v>8</v>
      </c>
      <c r="P77" s="30" t="s">
        <v>8</v>
      </c>
      <c r="Q77" s="30" t="s">
        <v>8</v>
      </c>
      <c r="R77" s="6">
        <f>L77*M77</f>
        <v>0</v>
      </c>
      <c r="S77" s="8" t="e">
        <f>R77/J77</f>
        <v>#DIV/0!</v>
      </c>
    </row>
    <row r="78" spans="1:29" x14ac:dyDescent="0.25">
      <c r="A78" s="3" t="s">
        <v>68</v>
      </c>
      <c r="B78" s="48" t="s">
        <v>70</v>
      </c>
      <c r="C78" s="5"/>
      <c r="D78" s="5">
        <f>C78</f>
        <v>0</v>
      </c>
      <c r="E78" s="54">
        <v>7.1999999999999998E-3</v>
      </c>
      <c r="F78" s="78" t="s">
        <v>8</v>
      </c>
      <c r="G78" s="30" t="s">
        <v>8</v>
      </c>
      <c r="H78" s="30" t="s">
        <v>8</v>
      </c>
      <c r="I78" s="30" t="s">
        <v>8</v>
      </c>
      <c r="J78" s="6">
        <f>D78*E78</f>
        <v>0</v>
      </c>
      <c r="K78" s="99">
        <f>ROUNDDOWN(C78*1.039,2)</f>
        <v>0</v>
      </c>
      <c r="L78" s="5">
        <f>K78</f>
        <v>0</v>
      </c>
      <c r="M78" s="62">
        <f>E78</f>
        <v>7.1999999999999998E-3</v>
      </c>
      <c r="N78" s="78" t="s">
        <v>8</v>
      </c>
      <c r="O78" s="30" t="s">
        <v>8</v>
      </c>
      <c r="P78" s="30" t="s">
        <v>8</v>
      </c>
      <c r="Q78" s="30" t="s">
        <v>8</v>
      </c>
      <c r="R78" s="6">
        <f>L78*M78</f>
        <v>0</v>
      </c>
      <c r="S78" s="8"/>
    </row>
    <row r="79" spans="1:29" ht="31.5" x14ac:dyDescent="0.25">
      <c r="A79" s="11" t="s">
        <v>28</v>
      </c>
      <c r="B79" s="12"/>
      <c r="C79" s="13"/>
      <c r="D79" s="13"/>
      <c r="E79" s="56">
        <f>SUM(E77:E78)</f>
        <v>1.8200000000000001E-2</v>
      </c>
      <c r="F79" s="26"/>
      <c r="G79" s="13"/>
      <c r="H79" s="13"/>
      <c r="I79" s="13"/>
      <c r="J79" s="14">
        <f>SUM(J77:J78)</f>
        <v>0</v>
      </c>
      <c r="K79" s="15"/>
      <c r="L79" s="13"/>
      <c r="M79" s="64">
        <f>SUM(M77:M78)</f>
        <v>1.8200000000000001E-2</v>
      </c>
      <c r="N79" s="26"/>
      <c r="O79" s="13"/>
      <c r="P79" s="13"/>
      <c r="Q79" s="13"/>
      <c r="R79" s="14">
        <f>SUM(R77:R78)</f>
        <v>0</v>
      </c>
      <c r="S79" s="16" t="e">
        <f>R79/J79</f>
        <v>#DIV/0!</v>
      </c>
    </row>
    <row r="80" spans="1:29" x14ac:dyDescent="0.25">
      <c r="A80" s="108" t="s">
        <v>54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10"/>
    </row>
    <row r="81" spans="1:19" x14ac:dyDescent="0.25">
      <c r="A81" s="111" t="s">
        <v>66</v>
      </c>
      <c r="B81" s="48" t="s">
        <v>45</v>
      </c>
      <c r="C81" s="5"/>
      <c r="D81" s="5"/>
      <c r="E81" s="54">
        <f>F81*I81*12/1000</f>
        <v>0</v>
      </c>
      <c r="F81" s="87">
        <f>ROUND(G81*H81,6)</f>
        <v>0</v>
      </c>
      <c r="G81" s="5"/>
      <c r="H81" s="37"/>
      <c r="I81" s="5"/>
      <c r="J81" s="6">
        <f>D81*E81</f>
        <v>0</v>
      </c>
      <c r="K81" s="7"/>
      <c r="L81" s="5"/>
      <c r="M81" s="62">
        <f>N81*P81*Q81*12/1000</f>
        <v>0</v>
      </c>
      <c r="N81" s="78">
        <f>ROUND(O81*P81,6)</f>
        <v>0</v>
      </c>
      <c r="O81" s="24">
        <f>G81</f>
        <v>0</v>
      </c>
      <c r="P81" s="27"/>
      <c r="Q81" s="25">
        <f>I81</f>
        <v>0</v>
      </c>
      <c r="R81" s="6">
        <f>L81*M81</f>
        <v>0</v>
      </c>
      <c r="S81" s="8" t="e">
        <f>R81/J81</f>
        <v>#DIV/0!</v>
      </c>
    </row>
    <row r="82" spans="1:19" x14ac:dyDescent="0.25">
      <c r="A82" s="107"/>
      <c r="B82" s="48" t="s">
        <v>46</v>
      </c>
      <c r="C82" s="105">
        <v>683.15</v>
      </c>
      <c r="D82" s="5">
        <v>566.11</v>
      </c>
      <c r="E82" s="79">
        <f>F82*I82/1000</f>
        <v>1.1046849999999999</v>
      </c>
      <c r="F82" s="78">
        <f>ROUND(G82*H82,6)</f>
        <v>0.155</v>
      </c>
      <c r="G82" s="5">
        <v>0.155</v>
      </c>
      <c r="H82" s="37">
        <v>1</v>
      </c>
      <c r="I82" s="5">
        <v>7127</v>
      </c>
      <c r="J82" s="6">
        <f>D82*E82</f>
        <v>625.37322534999998</v>
      </c>
      <c r="K82" s="104">
        <v>683.15</v>
      </c>
      <c r="L82" s="5">
        <f>D82</f>
        <v>566.11</v>
      </c>
      <c r="M82" s="81">
        <f>N82*P82*Q82/1000</f>
        <v>1.1046849999999999</v>
      </c>
      <c r="N82" s="78">
        <f>ROUND(O82*P82,6)</f>
        <v>0.155</v>
      </c>
      <c r="O82" s="24">
        <f>G82</f>
        <v>0.155</v>
      </c>
      <c r="P82" s="27">
        <v>1</v>
      </c>
      <c r="Q82" s="25">
        <f>I82</f>
        <v>7127</v>
      </c>
      <c r="R82" s="6">
        <f>L82*M82</f>
        <v>625.37322534999998</v>
      </c>
      <c r="S82" s="8">
        <f>R82/J82</f>
        <v>1</v>
      </c>
    </row>
    <row r="83" spans="1:19" ht="31.5" x14ac:dyDescent="0.25">
      <c r="A83" s="11" t="s">
        <v>29</v>
      </c>
      <c r="B83" s="12"/>
      <c r="C83" s="13"/>
      <c r="D83" s="13"/>
      <c r="E83" s="56">
        <f>SUM(E81:E82)</f>
        <v>1.1046849999999999</v>
      </c>
      <c r="F83" s="26"/>
      <c r="G83" s="13"/>
      <c r="H83" s="13"/>
      <c r="I83" s="13">
        <f>I81+I82</f>
        <v>7127</v>
      </c>
      <c r="J83" s="14">
        <f>SUM(J81:J82)</f>
        <v>625.37322534999998</v>
      </c>
      <c r="K83" s="15"/>
      <c r="L83" s="13"/>
      <c r="M83" s="64">
        <f>SUM(M81:M82)</f>
        <v>1.1046849999999999</v>
      </c>
      <c r="N83" s="26"/>
      <c r="O83" s="13"/>
      <c r="P83" s="13"/>
      <c r="Q83" s="13"/>
      <c r="R83" s="14">
        <f>SUM(R81:R82)</f>
        <v>625.37322534999998</v>
      </c>
      <c r="S83" s="16">
        <f>R83/J83</f>
        <v>1</v>
      </c>
    </row>
    <row r="84" spans="1:19" ht="32.25" thickBot="1" x14ac:dyDescent="0.3">
      <c r="A84" s="17" t="s">
        <v>30</v>
      </c>
      <c r="B84" s="18"/>
      <c r="C84" s="19"/>
      <c r="D84" s="19"/>
      <c r="E84" s="58"/>
      <c r="F84" s="19"/>
      <c r="G84" s="19"/>
      <c r="H84" s="19"/>
      <c r="I84" s="19"/>
      <c r="J84" s="20">
        <f>J27+J37++J45+J53+J61+J71+J75+J79+J83</f>
        <v>7672.1669906182669</v>
      </c>
      <c r="K84" s="21"/>
      <c r="L84" s="19"/>
      <c r="M84" s="66"/>
      <c r="N84" s="19"/>
      <c r="O84" s="19"/>
      <c r="P84" s="19"/>
      <c r="Q84" s="19"/>
      <c r="R84" s="20">
        <f>R27+R37++R45+R53+R61+R71+R75+R79+R83</f>
        <v>7667.2887204043345</v>
      </c>
      <c r="S84" s="22">
        <f>R84/J84</f>
        <v>0.99936416005805173</v>
      </c>
    </row>
    <row r="85" spans="1:19" x14ac:dyDescent="0.25">
      <c r="A85" s="46"/>
      <c r="B85" s="34"/>
      <c r="C85" s="31"/>
      <c r="D85" s="31"/>
      <c r="E85" s="59"/>
      <c r="F85" s="31"/>
      <c r="G85" s="31"/>
      <c r="H85" s="31"/>
      <c r="I85" s="31"/>
      <c r="J85" s="32"/>
      <c r="K85" s="31"/>
      <c r="L85" s="31"/>
      <c r="M85" s="67"/>
      <c r="N85" s="31"/>
      <c r="O85" s="31"/>
      <c r="P85" s="31"/>
      <c r="Q85" s="31"/>
      <c r="R85" s="32"/>
      <c r="S85" s="33"/>
    </row>
    <row r="88" spans="1:19" x14ac:dyDescent="0.25">
      <c r="A88" s="4" t="s">
        <v>32</v>
      </c>
    </row>
    <row r="89" spans="1:19" x14ac:dyDescent="0.25">
      <c r="E89" s="60" t="s">
        <v>31</v>
      </c>
    </row>
  </sheetData>
  <autoFilter ref="A8:AC76"/>
  <mergeCells count="43">
    <mergeCell ref="A19:A21"/>
    <mergeCell ref="A23:A25"/>
    <mergeCell ref="A2:S2"/>
    <mergeCell ref="A1:S1"/>
    <mergeCell ref="B4:B7"/>
    <mergeCell ref="A4:A7"/>
    <mergeCell ref="J5:J7"/>
    <mergeCell ref="R5:R7"/>
    <mergeCell ref="K4:R4"/>
    <mergeCell ref="K5:K7"/>
    <mergeCell ref="L5:L7"/>
    <mergeCell ref="M5:Q5"/>
    <mergeCell ref="M6:M7"/>
    <mergeCell ref="O6:Q6"/>
    <mergeCell ref="C4:J4"/>
    <mergeCell ref="E5:I5"/>
    <mergeCell ref="C5:C7"/>
    <mergeCell ref="E6:E7"/>
    <mergeCell ref="S4:S7"/>
    <mergeCell ref="F6:I6"/>
    <mergeCell ref="A76:S76"/>
    <mergeCell ref="D5:D7"/>
    <mergeCell ref="A47:A48"/>
    <mergeCell ref="A50:A51"/>
    <mergeCell ref="A9:S9"/>
    <mergeCell ref="A10:A12"/>
    <mergeCell ref="A14:A17"/>
    <mergeCell ref="A28:S28"/>
    <mergeCell ref="A29:A31"/>
    <mergeCell ref="A33:A35"/>
    <mergeCell ref="A38:S38"/>
    <mergeCell ref="A39:A40"/>
    <mergeCell ref="A41:A42"/>
    <mergeCell ref="A46:S46"/>
    <mergeCell ref="A81:A82"/>
    <mergeCell ref="A54:S54"/>
    <mergeCell ref="A55:A60"/>
    <mergeCell ref="A62:S62"/>
    <mergeCell ref="A63:A70"/>
    <mergeCell ref="A72:S72"/>
    <mergeCell ref="B67:S67"/>
    <mergeCell ref="B63:S63"/>
    <mergeCell ref="A80:S80"/>
  </mergeCells>
  <pageMargins left="0.51181102362204722" right="0.31496062992125984" top="0.55118110236220474" bottom="0.35433070866141736" header="0" footer="0"/>
  <pageSetup paperSize="9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 год</vt:lpstr>
      <vt:lpstr>'СРЕД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Gniteeva</dc:creator>
  <cp:lastModifiedBy>ПК</cp:lastModifiedBy>
  <cp:lastPrinted>2019-09-12T09:13:36Z</cp:lastPrinted>
  <dcterms:created xsi:type="dcterms:W3CDTF">2019-09-09T08:13:25Z</dcterms:created>
  <dcterms:modified xsi:type="dcterms:W3CDTF">2022-01-28T10:41:14Z</dcterms:modified>
</cp:coreProperties>
</file>